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ool34 PC 7\Desktop\Рассылка Смета 56 САДЫ\"/>
    </mc:Choice>
  </mc:AlternateContent>
  <bookViews>
    <workbookView xWindow="0" yWindow="0" windowWidth="28800" windowHeight="12330"/>
  </bookViews>
  <sheets>
    <sheet name="РО 131" sheetId="1" r:id="rId1"/>
  </sheets>
  <externalReferences>
    <externalReference r:id="rId2"/>
  </externalReferences>
  <definedNames>
    <definedName name="_xlnm.Print_Titles" localSheetId="0">'РО 131'!$7:$9</definedName>
    <definedName name="_xlnm.Print_Area" localSheetId="0">'РО 131'!$A$1:$AG$78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8" i="1" l="1"/>
  <c r="O108" i="1"/>
  <c r="I108" i="1"/>
  <c r="H108" i="1"/>
  <c r="AE102" i="1"/>
  <c r="AD102" i="1"/>
  <c r="AC102" i="1"/>
  <c r="AB102" i="1"/>
  <c r="AA102" i="1"/>
  <c r="Z102" i="1"/>
  <c r="X102" i="1"/>
  <c r="W102" i="1"/>
  <c r="V102" i="1"/>
  <c r="U102" i="1"/>
  <c r="T102" i="1"/>
  <c r="S102" i="1"/>
  <c r="Q102" i="1"/>
  <c r="P102" i="1"/>
  <c r="O102" i="1"/>
  <c r="N102" i="1"/>
  <c r="M102" i="1"/>
  <c r="L102" i="1"/>
  <c r="J102" i="1"/>
  <c r="AE101" i="1"/>
  <c r="AD101" i="1"/>
  <c r="AC101" i="1"/>
  <c r="AB101" i="1"/>
  <c r="AA101" i="1"/>
  <c r="Z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E100" i="1"/>
  <c r="AD100" i="1"/>
  <c r="AC100" i="1"/>
  <c r="AB100" i="1"/>
  <c r="AA100" i="1"/>
  <c r="Z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AE99" i="1"/>
  <c r="AD99" i="1"/>
  <c r="AC99" i="1"/>
  <c r="AB99" i="1"/>
  <c r="AA99" i="1"/>
  <c r="Z99" i="1"/>
  <c r="X99" i="1"/>
  <c r="W99" i="1"/>
  <c r="V99" i="1"/>
  <c r="U99" i="1"/>
  <c r="T99" i="1"/>
  <c r="S99" i="1"/>
  <c r="Q99" i="1"/>
  <c r="P99" i="1"/>
  <c r="O99" i="1"/>
  <c r="N99" i="1"/>
  <c r="M99" i="1"/>
  <c r="L99" i="1"/>
  <c r="K99" i="1"/>
  <c r="J99" i="1"/>
  <c r="AE98" i="1"/>
  <c r="AD98" i="1"/>
  <c r="AC98" i="1"/>
  <c r="AB98" i="1"/>
  <c r="AA98" i="1"/>
  <c r="Z98" i="1"/>
  <c r="X98" i="1"/>
  <c r="W98" i="1"/>
  <c r="V98" i="1"/>
  <c r="U98" i="1"/>
  <c r="T98" i="1"/>
  <c r="S98" i="1"/>
  <c r="Q98" i="1"/>
  <c r="P98" i="1"/>
  <c r="O98" i="1"/>
  <c r="N98" i="1"/>
  <c r="M98" i="1"/>
  <c r="L98" i="1"/>
  <c r="K98" i="1"/>
  <c r="J98" i="1"/>
  <c r="AE97" i="1"/>
  <c r="AA97" i="1"/>
  <c r="AE94" i="1"/>
  <c r="AD94" i="1"/>
  <c r="AC94" i="1"/>
  <c r="AB94" i="1"/>
  <c r="AA94" i="1"/>
  <c r="Z94" i="1"/>
  <c r="X94" i="1"/>
  <c r="W94" i="1"/>
  <c r="V94" i="1"/>
  <c r="U94" i="1"/>
  <c r="T94" i="1"/>
  <c r="S94" i="1"/>
  <c r="Q94" i="1"/>
  <c r="P94" i="1"/>
  <c r="O94" i="1"/>
  <c r="N94" i="1"/>
  <c r="M94" i="1"/>
  <c r="L94" i="1"/>
  <c r="J94" i="1"/>
  <c r="AD90" i="1"/>
  <c r="AC90" i="1"/>
  <c r="AB90" i="1"/>
  <c r="Z90" i="1"/>
  <c r="W90" i="1"/>
  <c r="U90" i="1"/>
  <c r="S90" i="1"/>
  <c r="P90" i="1"/>
  <c r="N90" i="1"/>
  <c r="L90" i="1"/>
  <c r="J90" i="1"/>
  <c r="I90" i="1"/>
  <c r="G90" i="1"/>
  <c r="E90" i="1"/>
  <c r="AD87" i="1"/>
  <c r="AC87" i="1"/>
  <c r="AB87" i="1"/>
  <c r="AA87" i="1"/>
  <c r="Z87" i="1"/>
  <c r="W87" i="1"/>
  <c r="U87" i="1"/>
  <c r="S87" i="1"/>
  <c r="O87" i="1"/>
  <c r="N87" i="1"/>
  <c r="M87" i="1"/>
  <c r="L87" i="1"/>
  <c r="J87" i="1"/>
  <c r="H87" i="1"/>
  <c r="G87" i="1"/>
  <c r="F87" i="1"/>
  <c r="AH72" i="1"/>
  <c r="AF72" i="1"/>
  <c r="Y72" i="1"/>
  <c r="R72" i="1"/>
  <c r="K72" i="1"/>
  <c r="J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E70" i="1"/>
  <c r="AC70" i="1"/>
  <c r="AB70" i="1" s="1"/>
  <c r="Z70" i="1"/>
  <c r="Y70" i="1"/>
  <c r="W70" i="1"/>
  <c r="U70" i="1"/>
  <c r="S70" i="1"/>
  <c r="R70" i="1"/>
  <c r="P70" i="1"/>
  <c r="N70" i="1"/>
  <c r="M70" i="1"/>
  <c r="L70" i="1"/>
  <c r="I70" i="1"/>
  <c r="G70" i="1"/>
  <c r="F70" i="1"/>
  <c r="AE69" i="1"/>
  <c r="AC69" i="1"/>
  <c r="AB69" i="1"/>
  <c r="AA69" i="1"/>
  <c r="X69" i="1"/>
  <c r="Y69" i="1" s="1"/>
  <c r="Y68" i="1" s="1"/>
  <c r="W69" i="1"/>
  <c r="W68" i="1" s="1"/>
  <c r="V69" i="1"/>
  <c r="T69" i="1"/>
  <c r="S69" i="1"/>
  <c r="S68" i="1" s="1"/>
  <c r="Q69" i="1"/>
  <c r="P69" i="1"/>
  <c r="N69" i="1"/>
  <c r="N68" i="1" s="1"/>
  <c r="M69" i="1"/>
  <c r="L69" i="1" s="1"/>
  <c r="L68" i="1" s="1"/>
  <c r="I69" i="1"/>
  <c r="I68" i="1" s="1"/>
  <c r="H69" i="1"/>
  <c r="F69" i="1"/>
  <c r="E69" i="1"/>
  <c r="AC68" i="1"/>
  <c r="AB68" i="1"/>
  <c r="X68" i="1"/>
  <c r="T68" i="1"/>
  <c r="Q68" i="1"/>
  <c r="P68" i="1"/>
  <c r="O68" i="1"/>
  <c r="M68" i="1"/>
  <c r="J68" i="1"/>
  <c r="H68" i="1"/>
  <c r="AJ67" i="1"/>
  <c r="AH67" i="1"/>
  <c r="AF67" i="1"/>
  <c r="AG67" i="1" s="1"/>
  <c r="Y67" i="1"/>
  <c r="R67" i="1"/>
  <c r="K67" i="1"/>
  <c r="AF66" i="1"/>
  <c r="Y66" i="1"/>
  <c r="R66" i="1"/>
  <c r="K66" i="1"/>
  <c r="AG66" i="1" s="1"/>
  <c r="AF64" i="1"/>
  <c r="AG64" i="1" s="1"/>
  <c r="AJ64" i="1" s="1"/>
  <c r="Y64" i="1"/>
  <c r="R64" i="1"/>
  <c r="K64" i="1"/>
  <c r="AH63" i="1"/>
  <c r="AF63" i="1"/>
  <c r="Y63" i="1"/>
  <c r="Y102" i="1" s="1"/>
  <c r="R63" i="1"/>
  <c r="R102" i="1" s="1"/>
  <c r="J63" i="1"/>
  <c r="K63" i="1" s="1"/>
  <c r="K102" i="1" s="1"/>
  <c r="AH62" i="1"/>
  <c r="AF62" i="1"/>
  <c r="AF56" i="1" s="1"/>
  <c r="Y62" i="1"/>
  <c r="Y101" i="1" s="1"/>
  <c r="R62" i="1"/>
  <c r="K62" i="1"/>
  <c r="AF61" i="1"/>
  <c r="Y61" i="1"/>
  <c r="Y100" i="1" s="1"/>
  <c r="R61" i="1"/>
  <c r="J61" i="1"/>
  <c r="AF60" i="1"/>
  <c r="AG60" i="1" s="1"/>
  <c r="AJ60" i="1" s="1"/>
  <c r="Y60" i="1"/>
  <c r="R60" i="1"/>
  <c r="K60" i="1"/>
  <c r="AH59" i="1"/>
  <c r="AF59" i="1"/>
  <c r="Y59" i="1"/>
  <c r="Y99" i="1" s="1"/>
  <c r="R59" i="1"/>
  <c r="R99" i="1" s="1"/>
  <c r="K59" i="1"/>
  <c r="AH58" i="1"/>
  <c r="AF58" i="1"/>
  <c r="AG58" i="1" s="1"/>
  <c r="AJ58" i="1" s="1"/>
  <c r="Y58" i="1"/>
  <c r="R58" i="1"/>
  <c r="K58" i="1"/>
  <c r="AH57" i="1"/>
  <c r="AF57" i="1"/>
  <c r="AE57" i="1"/>
  <c r="AD57" i="1"/>
  <c r="AC57" i="1"/>
  <c r="AC97" i="1" s="1"/>
  <c r="AB57" i="1"/>
  <c r="AB97" i="1" s="1"/>
  <c r="AA57" i="1"/>
  <c r="Z57" i="1"/>
  <c r="X57" i="1"/>
  <c r="X97" i="1" s="1"/>
  <c r="W57" i="1"/>
  <c r="V57" i="1"/>
  <c r="U57" i="1"/>
  <c r="U97" i="1" s="1"/>
  <c r="T57" i="1"/>
  <c r="T97" i="1" s="1"/>
  <c r="S57" i="1"/>
  <c r="S97" i="1" s="1"/>
  <c r="Q57" i="1"/>
  <c r="Q97" i="1" s="1"/>
  <c r="P57" i="1"/>
  <c r="P97" i="1" s="1"/>
  <c r="O57" i="1"/>
  <c r="O56" i="1" s="1"/>
  <c r="N57" i="1"/>
  <c r="M57" i="1"/>
  <c r="M97" i="1" s="1"/>
  <c r="L57" i="1"/>
  <c r="L97" i="1" s="1"/>
  <c r="K57" i="1"/>
  <c r="K97" i="1" s="1"/>
  <c r="J57" i="1"/>
  <c r="I57" i="1"/>
  <c r="H57" i="1"/>
  <c r="G57" i="1"/>
  <c r="G56" i="1" s="1"/>
  <c r="F57" i="1"/>
  <c r="F56" i="1" s="1"/>
  <c r="E57" i="1"/>
  <c r="AE56" i="1"/>
  <c r="AC56" i="1"/>
  <c r="AB56" i="1"/>
  <c r="AA56" i="1"/>
  <c r="X56" i="1"/>
  <c r="U56" i="1"/>
  <c r="T56" i="1"/>
  <c r="S56" i="1"/>
  <c r="Q56" i="1"/>
  <c r="P56" i="1"/>
  <c r="M56" i="1"/>
  <c r="L56" i="1"/>
  <c r="I56" i="1"/>
  <c r="H56" i="1"/>
  <c r="E56" i="1"/>
  <c r="AH55" i="1"/>
  <c r="AF55" i="1"/>
  <c r="Y55" i="1"/>
  <c r="R55" i="1"/>
  <c r="K55" i="1"/>
  <c r="AQ54" i="1"/>
  <c r="AH54" i="1"/>
  <c r="AF54" i="1"/>
  <c r="Y54" i="1"/>
  <c r="Y53" i="1" s="1"/>
  <c r="R54" i="1"/>
  <c r="K54" i="1"/>
  <c r="J54" i="1"/>
  <c r="AH53" i="1"/>
  <c r="AE53" i="1"/>
  <c r="AD53" i="1"/>
  <c r="AC53" i="1"/>
  <c r="AB53" i="1"/>
  <c r="AA53" i="1"/>
  <c r="Z53" i="1"/>
  <c r="X53" i="1"/>
  <c r="W53" i="1"/>
  <c r="V53" i="1"/>
  <c r="U53" i="1"/>
  <c r="T53" i="1"/>
  <c r="S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F52" i="1"/>
  <c r="Y52" i="1"/>
  <c r="Y94" i="1" s="1"/>
  <c r="R52" i="1"/>
  <c r="R94" i="1" s="1"/>
  <c r="H52" i="1"/>
  <c r="AH51" i="1"/>
  <c r="AF51" i="1"/>
  <c r="Y51" i="1"/>
  <c r="R51" i="1"/>
  <c r="AG51" i="1" s="1"/>
  <c r="K51" i="1"/>
  <c r="J51" i="1"/>
  <c r="AH50" i="1"/>
  <c r="AF50" i="1"/>
  <c r="Y50" i="1"/>
  <c r="R50" i="1"/>
  <c r="K50" i="1"/>
  <c r="AF49" i="1"/>
  <c r="Y49" i="1"/>
  <c r="R49" i="1"/>
  <c r="K49" i="1"/>
  <c r="AG49" i="1" s="1"/>
  <c r="AJ49" i="1" s="1"/>
  <c r="AF48" i="1"/>
  <c r="Y48" i="1"/>
  <c r="R48" i="1"/>
  <c r="K48" i="1"/>
  <c r="AF47" i="1"/>
  <c r="AG47" i="1" s="1"/>
  <c r="AJ47" i="1" s="1"/>
  <c r="Y47" i="1"/>
  <c r="R47" i="1"/>
  <c r="K47" i="1"/>
  <c r="AJ46" i="1"/>
  <c r="AF46" i="1"/>
  <c r="AG46" i="1" s="1"/>
  <c r="Y46" i="1"/>
  <c r="R46" i="1"/>
  <c r="K46" i="1"/>
  <c r="AF45" i="1"/>
  <c r="Y45" i="1"/>
  <c r="R45" i="1"/>
  <c r="AG45" i="1" s="1"/>
  <c r="AJ45" i="1" s="1"/>
  <c r="Q45" i="1"/>
  <c r="K45" i="1"/>
  <c r="AF44" i="1"/>
  <c r="Y44" i="1"/>
  <c r="R44" i="1"/>
  <c r="K44" i="1"/>
  <c r="K40" i="1" s="1"/>
  <c r="AF43" i="1"/>
  <c r="Y43" i="1"/>
  <c r="AG43" i="1" s="1"/>
  <c r="AJ43" i="1" s="1"/>
  <c r="R43" i="1"/>
  <c r="K43" i="1"/>
  <c r="AF42" i="1"/>
  <c r="Y42" i="1"/>
  <c r="Y40" i="1" s="1"/>
  <c r="R42" i="1"/>
  <c r="K42" i="1"/>
  <c r="AF41" i="1"/>
  <c r="Y41" i="1"/>
  <c r="R41" i="1"/>
  <c r="K41" i="1"/>
  <c r="AG41" i="1" s="1"/>
  <c r="AJ41" i="1" s="1"/>
  <c r="E41" i="1"/>
  <c r="E40" i="1" s="1"/>
  <c r="AE40" i="1"/>
  <c r="AD40" i="1"/>
  <c r="AC40" i="1"/>
  <c r="AB40" i="1"/>
  <c r="AA40" i="1"/>
  <c r="Z40" i="1"/>
  <c r="X40" i="1"/>
  <c r="W40" i="1"/>
  <c r="V40" i="1"/>
  <c r="U40" i="1"/>
  <c r="T40" i="1"/>
  <c r="S40" i="1"/>
  <c r="Q40" i="1"/>
  <c r="P40" i="1"/>
  <c r="O40" i="1"/>
  <c r="N40" i="1"/>
  <c r="M40" i="1"/>
  <c r="L40" i="1"/>
  <c r="J40" i="1"/>
  <c r="I40" i="1"/>
  <c r="H40" i="1"/>
  <c r="G40" i="1"/>
  <c r="F40" i="1"/>
  <c r="AH40" i="1" s="1"/>
  <c r="AF39" i="1"/>
  <c r="AG39" i="1" s="1"/>
  <c r="AJ39" i="1" s="1"/>
  <c r="Y39" i="1"/>
  <c r="R39" i="1"/>
  <c r="K39" i="1"/>
  <c r="AF38" i="1"/>
  <c r="Y38" i="1"/>
  <c r="AG38" i="1" s="1"/>
  <c r="AJ38" i="1" s="1"/>
  <c r="R38" i="1"/>
  <c r="K38" i="1"/>
  <c r="AF37" i="1"/>
  <c r="Y37" i="1"/>
  <c r="R37" i="1"/>
  <c r="K37" i="1"/>
  <c r="AQ36" i="1"/>
  <c r="AH36" i="1"/>
  <c r="AF36" i="1"/>
  <c r="AG36" i="1" s="1"/>
  <c r="Y36" i="1"/>
  <c r="R36" i="1"/>
  <c r="K36" i="1"/>
  <c r="AH35" i="1"/>
  <c r="AF35" i="1"/>
  <c r="Y35" i="1"/>
  <c r="AG35" i="1" s="1"/>
  <c r="R35" i="1"/>
  <c r="K35" i="1"/>
  <c r="AH34" i="1"/>
  <c r="AF34" i="1"/>
  <c r="Y34" i="1"/>
  <c r="AG34" i="1" s="1"/>
  <c r="R34" i="1"/>
  <c r="K34" i="1"/>
  <c r="AH33" i="1"/>
  <c r="AF33" i="1"/>
  <c r="Y33" i="1"/>
  <c r="R33" i="1"/>
  <c r="K33" i="1"/>
  <c r="AR32" i="1"/>
  <c r="AE32" i="1"/>
  <c r="AF32" i="1" s="1"/>
  <c r="AC32" i="1"/>
  <c r="AA32" i="1"/>
  <c r="AA28" i="1" s="1"/>
  <c r="X32" i="1"/>
  <c r="Y32" i="1" s="1"/>
  <c r="V32" i="1"/>
  <c r="T32" i="1"/>
  <c r="Q32" i="1"/>
  <c r="Q28" i="1" s="1"/>
  <c r="O32" i="1"/>
  <c r="M32" i="1"/>
  <c r="M28" i="1" s="1"/>
  <c r="J32" i="1"/>
  <c r="AH31" i="1"/>
  <c r="AF31" i="1"/>
  <c r="Y31" i="1"/>
  <c r="AG31" i="1" s="1"/>
  <c r="R31" i="1"/>
  <c r="K31" i="1"/>
  <c r="J31" i="1"/>
  <c r="AF30" i="1"/>
  <c r="Y30" i="1"/>
  <c r="R30" i="1"/>
  <c r="J30" i="1"/>
  <c r="K30" i="1" s="1"/>
  <c r="AH29" i="1"/>
  <c r="AF29" i="1"/>
  <c r="AG29" i="1" s="1"/>
  <c r="T29" i="1"/>
  <c r="Y29" i="1" s="1"/>
  <c r="R29" i="1"/>
  <c r="K29" i="1"/>
  <c r="AE28" i="1"/>
  <c r="AD28" i="1"/>
  <c r="AC28" i="1"/>
  <c r="AB28" i="1"/>
  <c r="Z28" i="1"/>
  <c r="X28" i="1"/>
  <c r="W28" i="1"/>
  <c r="V28" i="1"/>
  <c r="U28" i="1"/>
  <c r="T28" i="1"/>
  <c r="S28" i="1"/>
  <c r="P28" i="1"/>
  <c r="O28" i="1"/>
  <c r="N28" i="1"/>
  <c r="L28" i="1"/>
  <c r="J28" i="1"/>
  <c r="I28" i="1"/>
  <c r="H28" i="1"/>
  <c r="G28" i="1"/>
  <c r="F28" i="1"/>
  <c r="AH28" i="1" s="1"/>
  <c r="E28" i="1"/>
  <c r="AH27" i="1"/>
  <c r="AF27" i="1"/>
  <c r="Y27" i="1"/>
  <c r="R27" i="1"/>
  <c r="K27" i="1"/>
  <c r="AF26" i="1"/>
  <c r="AG26" i="1" s="1"/>
  <c r="Y26" i="1"/>
  <c r="R26" i="1"/>
  <c r="K26" i="1"/>
  <c r="AH25" i="1"/>
  <c r="AF25" i="1"/>
  <c r="AG25" i="1" s="1"/>
  <c r="Y25" i="1"/>
  <c r="R25" i="1"/>
  <c r="M25" i="1"/>
  <c r="M19" i="1" s="1"/>
  <c r="K25" i="1"/>
  <c r="J25" i="1"/>
  <c r="P87" i="1" s="1"/>
  <c r="AH24" i="1"/>
  <c r="AF24" i="1"/>
  <c r="Y24" i="1"/>
  <c r="R24" i="1"/>
  <c r="K24" i="1"/>
  <c r="AG24" i="1" s="1"/>
  <c r="G24" i="1"/>
  <c r="AH23" i="1"/>
  <c r="AF23" i="1"/>
  <c r="Y23" i="1"/>
  <c r="AG23" i="1" s="1"/>
  <c r="R23" i="1"/>
  <c r="R19" i="1" s="1"/>
  <c r="K23" i="1"/>
  <c r="AH22" i="1"/>
  <c r="AF22" i="1"/>
  <c r="Y22" i="1"/>
  <c r="R22" i="1"/>
  <c r="K22" i="1"/>
  <c r="AH21" i="1"/>
  <c r="AF21" i="1"/>
  <c r="AG21" i="1" s="1"/>
  <c r="Y21" i="1"/>
  <c r="R21" i="1"/>
  <c r="K21" i="1"/>
  <c r="AQ20" i="1"/>
  <c r="AH20" i="1"/>
  <c r="AF20" i="1"/>
  <c r="Y20" i="1"/>
  <c r="Y19" i="1" s="1"/>
  <c r="R20" i="1"/>
  <c r="K20" i="1"/>
  <c r="K19" i="1" s="1"/>
  <c r="AF19" i="1"/>
  <c r="AE19" i="1"/>
  <c r="AD19" i="1"/>
  <c r="AC19" i="1"/>
  <c r="AB19" i="1"/>
  <c r="AA19" i="1"/>
  <c r="Z19" i="1"/>
  <c r="X19" i="1"/>
  <c r="W19" i="1"/>
  <c r="V19" i="1"/>
  <c r="U19" i="1"/>
  <c r="T19" i="1"/>
  <c r="S19" i="1"/>
  <c r="Q19" i="1"/>
  <c r="P19" i="1"/>
  <c r="O19" i="1"/>
  <c r="N19" i="1"/>
  <c r="L19" i="1"/>
  <c r="J19" i="1"/>
  <c r="I19" i="1"/>
  <c r="H19" i="1"/>
  <c r="G19" i="1"/>
  <c r="F19" i="1"/>
  <c r="AH19" i="1" s="1"/>
  <c r="E19" i="1"/>
  <c r="AF18" i="1"/>
  <c r="AG18" i="1" s="1"/>
  <c r="AJ18" i="1" s="1"/>
  <c r="Y18" i="1"/>
  <c r="R18" i="1"/>
  <c r="K18" i="1"/>
  <c r="AH17" i="1"/>
  <c r="AE17" i="1"/>
  <c r="AD17" i="1"/>
  <c r="AD16" i="1" s="1"/>
  <c r="AC17" i="1"/>
  <c r="AB17" i="1" s="1"/>
  <c r="AB16" i="1" s="1"/>
  <c r="AA17" i="1"/>
  <c r="Z17" i="1"/>
  <c r="Z16" i="1" s="1"/>
  <c r="Y17" i="1"/>
  <c r="X17" i="1"/>
  <c r="W17" i="1"/>
  <c r="V17" i="1"/>
  <c r="V16" i="1" s="1"/>
  <c r="U17" i="1"/>
  <c r="T17" i="1"/>
  <c r="S17" i="1"/>
  <c r="Q17" i="1"/>
  <c r="P17" i="1" s="1"/>
  <c r="O17" i="1"/>
  <c r="N17" i="1" s="1"/>
  <c r="N16" i="1" s="1"/>
  <c r="M17" i="1"/>
  <c r="L17" i="1" s="1"/>
  <c r="K17" i="1"/>
  <c r="I17" i="1"/>
  <c r="I16" i="1" s="1"/>
  <c r="G17" i="1"/>
  <c r="E17" i="1"/>
  <c r="AE16" i="1"/>
  <c r="AA16" i="1"/>
  <c r="Y16" i="1"/>
  <c r="X16" i="1"/>
  <c r="W16" i="1"/>
  <c r="U16" i="1"/>
  <c r="T16" i="1"/>
  <c r="S16" i="1"/>
  <c r="P16" i="1"/>
  <c r="O16" i="1"/>
  <c r="L16" i="1"/>
  <c r="K16" i="1"/>
  <c r="J16" i="1"/>
  <c r="H16" i="1"/>
  <c r="G16" i="1"/>
  <c r="F16" i="1"/>
  <c r="E16" i="1"/>
  <c r="AH15" i="1"/>
  <c r="AF15" i="1"/>
  <c r="AG15" i="1" s="1"/>
  <c r="AJ15" i="1" s="1"/>
  <c r="Y15" i="1"/>
  <c r="R15" i="1"/>
  <c r="K15" i="1"/>
  <c r="AH14" i="1"/>
  <c r="AE14" i="1"/>
  <c r="AC14" i="1"/>
  <c r="AC13" i="1" s="1"/>
  <c r="AA14" i="1"/>
  <c r="X14" i="1"/>
  <c r="V14" i="1"/>
  <c r="Y14" i="1" s="1"/>
  <c r="Y13" i="1" s="1"/>
  <c r="T14" i="1"/>
  <c r="Q14" i="1"/>
  <c r="O14" i="1"/>
  <c r="O13" i="1" s="1"/>
  <c r="M14" i="1"/>
  <c r="K14" i="1"/>
  <c r="J14" i="1"/>
  <c r="AE13" i="1"/>
  <c r="AD13" i="1"/>
  <c r="AB13" i="1"/>
  <c r="AA13" i="1"/>
  <c r="Z13" i="1"/>
  <c r="X13" i="1"/>
  <c r="W13" i="1"/>
  <c r="V13" i="1"/>
  <c r="U13" i="1"/>
  <c r="T13" i="1"/>
  <c r="S13" i="1"/>
  <c r="Q13" i="1"/>
  <c r="P13" i="1"/>
  <c r="N13" i="1"/>
  <c r="M13" i="1"/>
  <c r="L13" i="1"/>
  <c r="K13" i="1"/>
  <c r="J13" i="1"/>
  <c r="I13" i="1"/>
  <c r="H13" i="1"/>
  <c r="G13" i="1"/>
  <c r="F13" i="1"/>
  <c r="AH13" i="1" s="1"/>
  <c r="E13" i="1"/>
  <c r="AQ12" i="1"/>
  <c r="AE12" i="1"/>
  <c r="AF12" i="1" s="1"/>
  <c r="Y12" i="1"/>
  <c r="Y87" i="1" s="1"/>
  <c r="X12" i="1"/>
  <c r="V12" i="1"/>
  <c r="T12" i="1"/>
  <c r="R12" i="1"/>
  <c r="R87" i="1" s="1"/>
  <c r="Q12" i="1"/>
  <c r="K108" i="1" s="1"/>
  <c r="O12" i="1"/>
  <c r="J108" i="1" s="1"/>
  <c r="H12" i="1"/>
  <c r="G108" i="1" s="1"/>
  <c r="F12" i="1"/>
  <c r="F108" i="1" s="1"/>
  <c r="AH11" i="1"/>
  <c r="AF11" i="1"/>
  <c r="Y11" i="1"/>
  <c r="R11" i="1"/>
  <c r="K11" i="1"/>
  <c r="AG11" i="1" s="1"/>
  <c r="AJ11" i="1" s="1"/>
  <c r="AM10" i="1"/>
  <c r="AF10" i="1"/>
  <c r="AF90" i="1" s="1"/>
  <c r="AE10" i="1"/>
  <c r="AE90" i="1" s="1"/>
  <c r="AA10" i="1"/>
  <c r="AA90" i="1" s="1"/>
  <c r="X10" i="1"/>
  <c r="X90" i="1" s="1"/>
  <c r="V10" i="1"/>
  <c r="V90" i="1" s="1"/>
  <c r="T10" i="1"/>
  <c r="T90" i="1" s="1"/>
  <c r="Q10" i="1"/>
  <c r="Q90" i="1" s="1"/>
  <c r="O10" i="1"/>
  <c r="O90" i="1" s="1"/>
  <c r="M10" i="1"/>
  <c r="M90" i="1" s="1"/>
  <c r="H10" i="1"/>
  <c r="H90" i="1" s="1"/>
  <c r="F10" i="1"/>
  <c r="F90" i="1" s="1"/>
  <c r="AF5" i="1"/>
  <c r="AK23" i="1" l="1"/>
  <c r="AJ23" i="1"/>
  <c r="AR16" i="1"/>
  <c r="AK24" i="1"/>
  <c r="AJ24" i="1"/>
  <c r="AR17" i="1"/>
  <c r="AK35" i="1"/>
  <c r="AR28" i="1"/>
  <c r="AJ35" i="1"/>
  <c r="AJ29" i="1"/>
  <c r="AR21" i="1"/>
  <c r="AK29" i="1"/>
  <c r="Q87" i="1"/>
  <c r="AJ25" i="1"/>
  <c r="AR19" i="1"/>
  <c r="AK25" i="1"/>
  <c r="AK31" i="1"/>
  <c r="AJ31" i="1"/>
  <c r="AR23" i="1"/>
  <c r="AJ36" i="1"/>
  <c r="AK36" i="1"/>
  <c r="AR29" i="1"/>
  <c r="AF87" i="1"/>
  <c r="AJ21" i="1"/>
  <c r="AK21" i="1"/>
  <c r="AR14" i="1"/>
  <c r="AK34" i="1"/>
  <c r="AJ34" i="1"/>
  <c r="AR27" i="1"/>
  <c r="R10" i="1"/>
  <c r="R90" i="1" s="1"/>
  <c r="Y10" i="1"/>
  <c r="Y90" i="1" s="1"/>
  <c r="L108" i="1"/>
  <c r="T87" i="1"/>
  <c r="AF70" i="1"/>
  <c r="AG70" i="1" s="1"/>
  <c r="AD70" i="1"/>
  <c r="AH10" i="1"/>
  <c r="R14" i="1"/>
  <c r="R13" i="1" s="1"/>
  <c r="AF14" i="1"/>
  <c r="Q16" i="1"/>
  <c r="R17" i="1"/>
  <c r="R16" i="1" s="1"/>
  <c r="AF17" i="1"/>
  <c r="AG20" i="1"/>
  <c r="AG30" i="1"/>
  <c r="AH32" i="1"/>
  <c r="AG37" i="1"/>
  <c r="AG42" i="1"/>
  <c r="AJ42" i="1" s="1"/>
  <c r="AG48" i="1"/>
  <c r="AJ48" i="1" s="1"/>
  <c r="W56" i="1"/>
  <c r="W97" i="1"/>
  <c r="AG57" i="1"/>
  <c r="R98" i="1"/>
  <c r="R57" i="1"/>
  <c r="AG59" i="1"/>
  <c r="AA68" i="1"/>
  <c r="Z69" i="1"/>
  <c r="Z68" i="1" s="1"/>
  <c r="AH12" i="1"/>
  <c r="AN12" i="1"/>
  <c r="K10" i="1"/>
  <c r="K90" i="1" s="1"/>
  <c r="AG10" i="1"/>
  <c r="K12" i="1"/>
  <c r="AG12" i="1" s="1"/>
  <c r="AE87" i="1"/>
  <c r="Q108" i="1"/>
  <c r="Y28" i="1"/>
  <c r="AG44" i="1"/>
  <c r="AG55" i="1"/>
  <c r="AJ55" i="1" s="1"/>
  <c r="AF53" i="1"/>
  <c r="J100" i="1"/>
  <c r="AH61" i="1"/>
  <c r="K61" i="1"/>
  <c r="AE68" i="1"/>
  <c r="AF69" i="1"/>
  <c r="AD69" i="1"/>
  <c r="AD68" i="1" s="1"/>
  <c r="AD73" i="1" s="1"/>
  <c r="AD81" i="1" s="1"/>
  <c r="AN10" i="1"/>
  <c r="M108" i="1"/>
  <c r="V87" i="1"/>
  <c r="R108" i="1"/>
  <c r="N108" i="1"/>
  <c r="X87" i="1"/>
  <c r="AM12" i="1"/>
  <c r="M16" i="1"/>
  <c r="AH16" i="1" s="1"/>
  <c r="AC16" i="1"/>
  <c r="AG22" i="1"/>
  <c r="AG27" i="1"/>
  <c r="AJ27" i="1" s="1"/>
  <c r="AF28" i="1"/>
  <c r="AH30" i="1"/>
  <c r="K32" i="1"/>
  <c r="K28" i="1" s="1"/>
  <c r="R32" i="1"/>
  <c r="AG32" i="1" s="1"/>
  <c r="AG33" i="1"/>
  <c r="R40" i="1"/>
  <c r="AK51" i="1"/>
  <c r="AJ51" i="1"/>
  <c r="AH52" i="1"/>
  <c r="K52" i="1"/>
  <c r="K94" i="1" s="1"/>
  <c r="AG63" i="1"/>
  <c r="U69" i="1"/>
  <c r="U68" i="1" s="1"/>
  <c r="U73" i="1" s="1"/>
  <c r="U81" i="1" s="1"/>
  <c r="V68" i="1"/>
  <c r="AH71" i="1"/>
  <c r="S73" i="1"/>
  <c r="S81" i="1" s="1"/>
  <c r="W73" i="1"/>
  <c r="W81" i="1" s="1"/>
  <c r="AA73" i="1"/>
  <c r="AA81" i="1" s="1"/>
  <c r="AE73" i="1"/>
  <c r="AE81" i="1" s="1"/>
  <c r="O97" i="1"/>
  <c r="AF40" i="1"/>
  <c r="AG54" i="1"/>
  <c r="R53" i="1"/>
  <c r="Z97" i="1"/>
  <c r="Z56" i="1"/>
  <c r="AD97" i="1"/>
  <c r="AD56" i="1"/>
  <c r="AG98" i="1"/>
  <c r="AK58" i="1"/>
  <c r="AR40" i="1"/>
  <c r="I73" i="1"/>
  <c r="I81" i="1" s="1"/>
  <c r="AG50" i="1"/>
  <c r="AJ50" i="1" s="1"/>
  <c r="AH56" i="1"/>
  <c r="J97" i="1"/>
  <c r="J56" i="1"/>
  <c r="J73" i="1" s="1"/>
  <c r="J81" i="1" s="1"/>
  <c r="N97" i="1"/>
  <c r="N56" i="1"/>
  <c r="N73" i="1" s="1"/>
  <c r="N81" i="1" s="1"/>
  <c r="V97" i="1"/>
  <c r="V56" i="1"/>
  <c r="AF100" i="1"/>
  <c r="AG61" i="1"/>
  <c r="Q73" i="1"/>
  <c r="Q81" i="1" s="1"/>
  <c r="G69" i="1"/>
  <c r="G68" i="1" s="1"/>
  <c r="I87" i="1"/>
  <c r="K69" i="1"/>
  <c r="K68" i="1" s="1"/>
  <c r="K87" i="1"/>
  <c r="K70" i="1"/>
  <c r="E70" i="1"/>
  <c r="E68" i="1" s="1"/>
  <c r="E73" i="1" s="1"/>
  <c r="E81" i="1" s="1"/>
  <c r="F68" i="1"/>
  <c r="AH68" i="1" s="1"/>
  <c r="AH70" i="1"/>
  <c r="G73" i="1"/>
  <c r="G81" i="1" s="1"/>
  <c r="O73" i="1"/>
  <c r="O81" i="1" s="1"/>
  <c r="T73" i="1"/>
  <c r="T81" i="1" s="1"/>
  <c r="X73" i="1"/>
  <c r="X81" i="1" s="1"/>
  <c r="AB73" i="1"/>
  <c r="AB81" i="1" s="1"/>
  <c r="AG72" i="1"/>
  <c r="R71" i="1"/>
  <c r="H73" i="1"/>
  <c r="H81" i="1" s="1"/>
  <c r="L73" i="1"/>
  <c r="L81" i="1" s="1"/>
  <c r="P73" i="1"/>
  <c r="P81" i="1" s="1"/>
  <c r="AG71" i="1"/>
  <c r="AF94" i="1"/>
  <c r="AG52" i="1"/>
  <c r="Y98" i="1"/>
  <c r="Y57" i="1"/>
  <c r="AF101" i="1"/>
  <c r="AG62" i="1"/>
  <c r="AC73" i="1"/>
  <c r="AC81" i="1" s="1"/>
  <c r="R69" i="1"/>
  <c r="R68" i="1" s="1"/>
  <c r="AH69" i="1"/>
  <c r="AF97" i="1"/>
  <c r="AF98" i="1"/>
  <c r="AF99" i="1"/>
  <c r="AF102" i="1"/>
  <c r="AJ32" i="1" l="1"/>
  <c r="AR24" i="1"/>
  <c r="AK32" i="1"/>
  <c r="AG28" i="1"/>
  <c r="AG87" i="1"/>
  <c r="AK12" i="1"/>
  <c r="AJ12" i="1"/>
  <c r="AJ33" i="1"/>
  <c r="AK33" i="1"/>
  <c r="AR25" i="1"/>
  <c r="AJ44" i="1"/>
  <c r="AG40" i="1"/>
  <c r="AJ40" i="1" s="1"/>
  <c r="AG97" i="1"/>
  <c r="AK57" i="1"/>
  <c r="AG56" i="1"/>
  <c r="AJ57" i="1"/>
  <c r="AK20" i="1"/>
  <c r="AG19" i="1"/>
  <c r="AJ20" i="1"/>
  <c r="AR13" i="1"/>
  <c r="AR12" i="1" s="1"/>
  <c r="AG14" i="1"/>
  <c r="AF13" i="1"/>
  <c r="AK70" i="1"/>
  <c r="AR56" i="1"/>
  <c r="AJ70" i="1"/>
  <c r="Y97" i="1"/>
  <c r="Y56" i="1"/>
  <c r="Y73" i="1" s="1"/>
  <c r="Y81" i="1" s="1"/>
  <c r="AK71" i="1"/>
  <c r="AJ71" i="1"/>
  <c r="R73" i="1"/>
  <c r="R81" i="1" s="1"/>
  <c r="F73" i="1"/>
  <c r="M73" i="1"/>
  <c r="AG69" i="1"/>
  <c r="AF68" i="1"/>
  <c r="AG90" i="1"/>
  <c r="AJ10" i="1"/>
  <c r="AK10" i="1"/>
  <c r="AG99" i="1"/>
  <c r="AK59" i="1"/>
  <c r="AR50" i="1"/>
  <c r="AJ59" i="1"/>
  <c r="AG17" i="1"/>
  <c r="AF16" i="1"/>
  <c r="AG16" i="1" s="1"/>
  <c r="AK72" i="1"/>
  <c r="AJ72" i="1"/>
  <c r="AR36" i="1"/>
  <c r="AK54" i="1"/>
  <c r="AG53" i="1"/>
  <c r="AJ53" i="1" s="1"/>
  <c r="AJ54" i="1"/>
  <c r="AR35" i="1"/>
  <c r="AG102" i="1"/>
  <c r="AK63" i="1"/>
  <c r="AR53" i="1"/>
  <c r="AJ63" i="1"/>
  <c r="AJ22" i="1"/>
  <c r="AK22" i="1"/>
  <c r="AR15" i="1"/>
  <c r="Z73" i="1"/>
  <c r="Z81" i="1" s="1"/>
  <c r="R97" i="1"/>
  <c r="R56" i="1"/>
  <c r="R28" i="1"/>
  <c r="AG101" i="1"/>
  <c r="AR52" i="1"/>
  <c r="AJ62" i="1"/>
  <c r="AK62" i="1"/>
  <c r="AG94" i="1"/>
  <c r="AK52" i="1"/>
  <c r="AR33" i="1"/>
  <c r="AJ52" i="1"/>
  <c r="AG100" i="1"/>
  <c r="AK61" i="1"/>
  <c r="AR51" i="1"/>
  <c r="AJ61" i="1"/>
  <c r="V73" i="1"/>
  <c r="V81" i="1" s="1"/>
  <c r="K100" i="1"/>
  <c r="K56" i="1"/>
  <c r="K73" i="1" s="1"/>
  <c r="K81" i="1" s="1"/>
  <c r="AR22" i="1"/>
  <c r="AR20" i="1" s="1"/>
  <c r="AK30" i="1"/>
  <c r="AJ30" i="1"/>
  <c r="AK17" i="1" l="1"/>
  <c r="AJ17" i="1"/>
  <c r="AG68" i="1"/>
  <c r="AF73" i="1"/>
  <c r="AF81" i="1" s="1"/>
  <c r="AK28" i="1"/>
  <c r="AJ28" i="1"/>
  <c r="AK69" i="1"/>
  <c r="AR55" i="1"/>
  <c r="AR54" i="1" s="1"/>
  <c r="AJ69" i="1"/>
  <c r="AK56" i="1"/>
  <c r="AJ56" i="1"/>
  <c r="M75" i="1"/>
  <c r="M81" i="1"/>
  <c r="AK19" i="1"/>
  <c r="AJ19" i="1"/>
  <c r="AJ16" i="1"/>
  <c r="AR10" i="1"/>
  <c r="AK16" i="1"/>
  <c r="F81" i="1"/>
  <c r="AH73" i="1"/>
  <c r="AJ14" i="1"/>
  <c r="AG13" i="1"/>
  <c r="AK14" i="1"/>
  <c r="AJ13" i="1" l="1"/>
  <c r="AR9" i="1"/>
  <c r="AJ68" i="1"/>
  <c r="E87" i="1"/>
  <c r="AK68" i="1"/>
  <c r="AG73" i="1"/>
  <c r="AK73" i="1" l="1"/>
  <c r="AJ73" i="1"/>
  <c r="AG81" i="1"/>
</calcChain>
</file>

<file path=xl/sharedStrings.xml><?xml version="1.0" encoding="utf-8"?>
<sst xmlns="http://schemas.openxmlformats.org/spreadsheetml/2006/main" count="190" uniqueCount="96">
  <si>
    <t>Расчет-обоснование бюджетных ассигнований на  2023 год</t>
  </si>
  <si>
    <t>Наименование распорядителя (получателя) бюджетных средств</t>
  </si>
  <si>
    <t>МУНИЦИПАЛЬНОЕ БЮДЖЕТНОЕ ДОШКОЛЬНОЕ ОБРАЗОВАТЕЛЬНОЕ УЧРЕЖДЕНИЕ "ЯСЛИ-САД № 131 "МАЛЫШ" КОМБИНИРОВАННОГО ТИПА ГОРОДА МАРИУПОЛЯ"   9310002526</t>
  </si>
  <si>
    <t>Целевая статья</t>
  </si>
  <si>
    <t>рос.руб.</t>
  </si>
  <si>
    <t>Код вида расходов</t>
  </si>
  <si>
    <t>Код статьи (подстатьи)</t>
  </si>
  <si>
    <t xml:space="preserve">Наименование </t>
  </si>
  <si>
    <t>ед.измерения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</si>
  <si>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</si>
  <si>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</si>
  <si>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</si>
  <si>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</si>
  <si>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</si>
  <si>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</si>
  <si>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</si>
  <si>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</si>
  <si>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</si>
  <si>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</si>
  <si>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</si>
  <si>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</si>
  <si>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</si>
  <si>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</si>
  <si>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</si>
  <si>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</si>
  <si>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</t>
  </si>
  <si>
    <t>Кол-во</t>
  </si>
  <si>
    <t>Сумма</t>
  </si>
  <si>
    <t>янв-июль</t>
  </si>
  <si>
    <t>Заработная плата</t>
  </si>
  <si>
    <t>руб</t>
  </si>
  <si>
    <t>Социальные пособия и компенсации</t>
  </si>
  <si>
    <t>Начисления на выплаты по оплате труда</t>
  </si>
  <si>
    <t>Услуги связи</t>
  </si>
  <si>
    <t>восстановление и заправка картриджей</t>
  </si>
  <si>
    <t xml:space="preserve">Интернет </t>
  </si>
  <si>
    <t>поверка приборов учета, монометров</t>
  </si>
  <si>
    <t>Кредиторская задолженность</t>
  </si>
  <si>
    <t>Измерение сопротивления изоляции</t>
  </si>
  <si>
    <t>Коммунальные услуги</t>
  </si>
  <si>
    <t>м2</t>
  </si>
  <si>
    <t>опресовка</t>
  </si>
  <si>
    <t>Оплата водоснабжения и водоотведения</t>
  </si>
  <si>
    <t>Дератизация и дезинфекция</t>
  </si>
  <si>
    <t>Вывоз ЖБО</t>
  </si>
  <si>
    <t>Работы, услуги по содержанию имущества</t>
  </si>
  <si>
    <t>Вывоз ТБО</t>
  </si>
  <si>
    <t>Медосмотр</t>
  </si>
  <si>
    <t>Монтаж тревожной кнопки</t>
  </si>
  <si>
    <t>Обслуживание тревожной кнопки</t>
  </si>
  <si>
    <t>Военизированная охрана</t>
  </si>
  <si>
    <t>Нотариус введение нового КВЭД</t>
  </si>
  <si>
    <t>Перезарядка огнетушителей</t>
  </si>
  <si>
    <t>Паспортизация объекта</t>
  </si>
  <si>
    <t>Прочие работы, услуги</t>
  </si>
  <si>
    <t>Оценка недвиж.имущества</t>
  </si>
  <si>
    <t>Курсы, семинары</t>
  </si>
  <si>
    <t>Обслуживание АПС</t>
  </si>
  <si>
    <t>Расчетно-кассовое обслуживание</t>
  </si>
  <si>
    <t>Увеличение стоимости основных средств</t>
  </si>
  <si>
    <t>канцелярия</t>
  </si>
  <si>
    <t>Мебель и предметы мебели</t>
  </si>
  <si>
    <t>Специальное оборудование и прндметы для кабинетов</t>
  </si>
  <si>
    <t>Оборудование для спортивного зала</t>
  </si>
  <si>
    <t>Кухонный инвентарь</t>
  </si>
  <si>
    <t>Предметы хозяйственного инвентаря</t>
  </si>
  <si>
    <t>Медецинские предметы и оборудование</t>
  </si>
  <si>
    <t>Бытовая и орг.техника</t>
  </si>
  <si>
    <t>Противопожарное оборудование</t>
  </si>
  <si>
    <t>Приобретение тревожной кнопки</t>
  </si>
  <si>
    <t>бумага</t>
  </si>
  <si>
    <t>Увеличение стоимости лекарственных препаратов и материалов, применяемых в медицинских целях</t>
  </si>
  <si>
    <t>Средства бытовой химии</t>
  </si>
  <si>
    <t>Увеличение стоимости продуктов питания</t>
  </si>
  <si>
    <t>Хозяйственные материалы</t>
  </si>
  <si>
    <t>Увеличение стоимости мягкого инвентаря</t>
  </si>
  <si>
    <t>Мягкий инвентарь</t>
  </si>
  <si>
    <t>Электроэнергия</t>
  </si>
  <si>
    <t>Увеличение стоимости прочих материальных запасов</t>
  </si>
  <si>
    <t>шт</t>
  </si>
  <si>
    <t>Теплоэнергия</t>
  </si>
  <si>
    <t>Канцелярские товары, в т.ч.</t>
  </si>
  <si>
    <t>Флаг</t>
  </si>
  <si>
    <t>Наглядные пособия</t>
  </si>
  <si>
    <t>Игровой инвентарь</t>
  </si>
  <si>
    <t>Закупка энергетических ресурсов</t>
  </si>
  <si>
    <t>Уплата прочих налогов, сборов</t>
  </si>
  <si>
    <t>Налоги, пошлины и сборы</t>
  </si>
  <si>
    <t>ВСЕГО</t>
  </si>
  <si>
    <t>Главный бухгалтер ЦБ</t>
  </si>
  <si>
    <t>Л. Ю. Ширалиева</t>
  </si>
  <si>
    <t>вода</t>
  </si>
  <si>
    <t>свет</t>
  </si>
  <si>
    <t>тепло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</si>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</sst>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1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wrapText="1"/>
    </xf>
    <xf numFmtId="4" fontId="8" fillId="0" borderId="2" xfId="0" applyNumberFormat="1" applyFont="1" applyBorder="1"/>
    <xf numFmtId="0" fontId="5" fillId="0" borderId="2" xfId="0" applyFont="1" applyBorder="1"/>
    <xf numFmtId="4" fontId="12" fillId="0" borderId="2" xfId="0" applyNumberFormat="1" applyFont="1" applyBorder="1"/>
    <xf numFmtId="4" fontId="5" fillId="0" borderId="0" xfId="0" applyNumberFormat="1" applyFont="1"/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wrapText="1"/>
    </xf>
    <xf numFmtId="4" fontId="7" fillId="0" borderId="2" xfId="0" applyNumberFormat="1" applyFont="1" applyBorder="1"/>
    <xf numFmtId="0" fontId="10" fillId="0" borderId="2" xfId="0" applyFont="1" applyBorder="1" applyAlignment="1">
      <alignment horizontal="left" wrapText="1"/>
    </xf>
    <xf numFmtId="4" fontId="4" fillId="0" borderId="2" xfId="0" applyNumberFormat="1" applyFont="1" applyBorder="1"/>
    <xf numFmtId="0" fontId="11" fillId="0" borderId="5" xfId="0" applyFont="1" applyBorder="1"/>
    <xf numFmtId="0" fontId="4" fillId="0" borderId="5" xfId="0" applyFont="1" applyBorder="1"/>
    <xf numFmtId="0" fontId="15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4" fontId="4" fillId="0" borderId="5" xfId="0" applyNumberFormat="1" applyFont="1" applyBorder="1"/>
    <xf numFmtId="0" fontId="4" fillId="0" borderId="6" xfId="0" applyFont="1" applyBorder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8" fillId="0" borderId="2" xfId="0" applyFont="1" applyBorder="1"/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4" fontId="18" fillId="0" borderId="2" xfId="0" applyNumberFormat="1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/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7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ol34%20PC%207/Desktop/56_&#1057;&#1040;&#1044;&#1067;_&#1086;&#1089;&#1085;&#1072;&#1097;&#1077;&#1085;&#1080;&#1077;_&#1089;_&#1101;&#1082;&#1086;&#1085;&#1086;&#1084;&#1080;&#1080;_548_&#1087;&#1080;&#1089;&#1100;&#108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сады"/>
      <sheetName val="РО"/>
      <sheetName val="20"/>
      <sheetName val="РО 20"/>
      <sheetName val="21"/>
      <sheetName val="РО 21"/>
      <sheetName val="39"/>
      <sheetName val="РО 39"/>
      <sheetName val="54"/>
      <sheetName val="РО 54"/>
      <sheetName val="64"/>
      <sheetName val="РО 64"/>
      <sheetName val="72"/>
      <sheetName val="РО 72"/>
      <sheetName val="73"/>
      <sheetName val="РО 73"/>
      <sheetName val="98"/>
      <sheetName val="РО 98"/>
      <sheetName val="100"/>
      <sheetName val="РО 100"/>
      <sheetName val="102"/>
      <sheetName val="РО 102"/>
      <sheetName val="108"/>
      <sheetName val="РО 108"/>
      <sheetName val="114"/>
      <sheetName val="РО 114"/>
      <sheetName val="117"/>
      <sheetName val="РО 117"/>
      <sheetName val="125"/>
      <sheetName val="РО 125"/>
      <sheetName val="131"/>
      <sheetName val="РО 131"/>
      <sheetName val="140"/>
      <sheetName val="РО 140"/>
      <sheetName val="142"/>
      <sheetName val="РО 142"/>
      <sheetName val="148"/>
      <sheetName val="РО 148"/>
      <sheetName val="150"/>
      <sheetName val="РО 150"/>
      <sheetName val="160"/>
      <sheetName val="РО 160"/>
      <sheetName val="163"/>
      <sheetName val="РО 163"/>
      <sheetName val="Нев"/>
      <sheetName val="РО Нев"/>
      <sheetName val="Жур"/>
      <sheetName val="РО Жур"/>
      <sheetName val="Микру"/>
      <sheetName val="РО Микру"/>
      <sheetName val="Диоск"/>
      <sheetName val="РОДиоск"/>
      <sheetName val="Зерн"/>
      <sheetName val="РО Зер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2">
          <cell r="A112" t="str">
            <v xml:space="preserve"> «  21   »   ноября   2023 г.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08"/>
  <sheetViews>
    <sheetView tabSelected="1" view="pageBreakPreview" zoomScale="90" zoomScaleNormal="90" zoomScaleSheetLayoutView="90" workbookViewId="0">
      <pane xSplit="3" ySplit="8" topLeftCell="U63" activePane="bottomRight" state="frozenSplit"/>
      <selection activeCell="J34" sqref="J34:K69"/>
      <selection pane="topRight" activeCell="J34" sqref="J34:K69"/>
      <selection pane="bottomLeft" activeCell="J34" sqref="J34:K69"/>
      <selection pane="bottomRight" activeCell="AE15" sqref="AE15"/>
    </sheetView>
  </sheetViews>
  <sheetFormatPr defaultRowHeight="15" x14ac:dyDescent="0.25"/>
  <cols>
    <col min="1" max="1" width="6" style="16" customWidth="1"/>
    <col min="2" max="2" width="6.7109375" style="16" customWidth="1"/>
    <col min="3" max="3" width="37.5703125" style="10" customWidth="1"/>
    <col min="4" max="4" width="5.42578125" style="10" customWidth="1"/>
    <col min="5" max="5" width="8.42578125" style="10" customWidth="1"/>
    <col min="6" max="6" width="11.42578125" style="10" customWidth="1"/>
    <col min="7" max="7" width="8.85546875" style="16" customWidth="1"/>
    <col min="8" max="8" width="11" style="16" customWidth="1"/>
    <col min="9" max="9" width="8.7109375" style="16" customWidth="1"/>
    <col min="10" max="10" width="11.42578125" style="16" customWidth="1"/>
    <col min="11" max="11" width="11.5703125" style="17" customWidth="1"/>
    <col min="12" max="12" width="8.85546875" style="17" customWidth="1"/>
    <col min="13" max="13" width="12.140625" style="10" customWidth="1"/>
    <col min="14" max="14" width="7.85546875" style="10" customWidth="1"/>
    <col min="15" max="15" width="11.28515625" style="16" customWidth="1"/>
    <col min="16" max="16" width="8.28515625" style="16" customWidth="1"/>
    <col min="17" max="17" width="11.7109375" style="16" customWidth="1"/>
    <col min="18" max="18" width="12.140625" style="16" customWidth="1"/>
    <col min="19" max="19" width="8.42578125" style="17" customWidth="1"/>
    <col min="20" max="20" width="11.7109375" style="17" customWidth="1"/>
    <col min="21" max="21" width="8.42578125" style="16" customWidth="1"/>
    <col min="22" max="22" width="11.5703125" style="16" customWidth="1"/>
    <col min="23" max="23" width="7.5703125" style="16" customWidth="1"/>
    <col min="24" max="24" width="11.5703125" style="16" customWidth="1"/>
    <col min="25" max="25" width="12.5703125" style="16" customWidth="1"/>
    <col min="26" max="26" width="11.5703125" style="16" customWidth="1"/>
    <col min="27" max="27" width="12.28515625" style="17" customWidth="1"/>
    <col min="28" max="28" width="11.7109375" style="17" customWidth="1"/>
    <col min="29" max="29" width="11.7109375" style="16" customWidth="1"/>
    <col min="30" max="30" width="7.85546875" style="16" customWidth="1"/>
    <col min="31" max="31" width="11.7109375" style="16" customWidth="1"/>
    <col min="32" max="32" width="10.7109375" style="16" customWidth="1"/>
    <col min="33" max="33" width="13.85546875" style="16" customWidth="1"/>
    <col min="34" max="34" width="15" style="7" customWidth="1"/>
    <col min="35" max="35" width="11.42578125" style="7" customWidth="1"/>
    <col min="36" max="36" width="12.85546875" style="7" customWidth="1"/>
    <col min="37" max="38" width="9.140625" style="7"/>
    <col min="39" max="39" width="11.28515625" style="7" bestFit="1" customWidth="1"/>
    <col min="40" max="41" width="9.140625" style="7"/>
    <col min="42" max="42" width="25.42578125" style="7" customWidth="1"/>
    <col min="43" max="43" width="9.140625" style="7"/>
    <col min="44" max="44" width="10.7109375" style="7" customWidth="1"/>
    <col min="45" max="253" width="9.140625" style="7"/>
    <col min="254" max="254" width="6" style="7" customWidth="1"/>
    <col min="255" max="255" width="6.7109375" style="7" customWidth="1"/>
    <col min="256" max="256" width="24.5703125" style="7" customWidth="1"/>
    <col min="257" max="257" width="5.42578125" style="7" customWidth="1"/>
    <col min="258" max="261" width="0" style="7" hidden="1" customWidth="1"/>
    <col min="262" max="263" width="4.5703125" style="7" customWidth="1"/>
    <col min="264" max="264" width="7.5703125" style="7" customWidth="1"/>
    <col min="265" max="265" width="7.7109375" style="7" customWidth="1"/>
    <col min="266" max="266" width="6.5703125" style="7" customWidth="1"/>
    <col min="267" max="267" width="10.140625" style="7" customWidth="1"/>
    <col min="268" max="268" width="7.5703125" style="7" customWidth="1"/>
    <col min="269" max="269" width="11.5703125" style="7" customWidth="1"/>
    <col min="270" max="270" width="7.5703125" style="7" customWidth="1"/>
    <col min="271" max="271" width="11.5703125" style="7" customWidth="1"/>
    <col min="272" max="272" width="7.5703125" style="7" customWidth="1"/>
    <col min="273" max="273" width="11.7109375" style="7" customWidth="1"/>
    <col min="274" max="274" width="9.140625" style="7"/>
    <col min="275" max="275" width="13.28515625" style="7" customWidth="1"/>
    <col min="276" max="276" width="6.85546875" style="7" customWidth="1"/>
    <col min="277" max="277" width="10.7109375" style="7" customWidth="1"/>
    <col min="278" max="278" width="6.85546875" style="7" customWidth="1"/>
    <col min="279" max="279" width="10.7109375" style="7" customWidth="1"/>
    <col min="280" max="280" width="9.140625" style="7"/>
    <col min="281" max="281" width="11.42578125" style="7" customWidth="1"/>
    <col min="282" max="282" width="9.140625" style="7"/>
    <col min="283" max="283" width="13.140625" style="7" customWidth="1"/>
    <col min="284" max="284" width="11.28515625" style="7" bestFit="1" customWidth="1"/>
    <col min="285" max="285" width="13.28515625" style="7" customWidth="1"/>
    <col min="286" max="286" width="12.85546875" style="7" customWidth="1"/>
    <col min="287" max="509" width="9.140625" style="7"/>
    <col min="510" max="510" width="6" style="7" customWidth="1"/>
    <col min="511" max="511" width="6.7109375" style="7" customWidth="1"/>
    <col min="512" max="512" width="24.5703125" style="7" customWidth="1"/>
    <col min="513" max="513" width="5.42578125" style="7" customWidth="1"/>
    <col min="514" max="517" width="0" style="7" hidden="1" customWidth="1"/>
    <col min="518" max="519" width="4.5703125" style="7" customWidth="1"/>
    <col min="520" max="520" width="7.5703125" style="7" customWidth="1"/>
    <col min="521" max="521" width="7.7109375" style="7" customWidth="1"/>
    <col min="522" max="522" width="6.5703125" style="7" customWidth="1"/>
    <col min="523" max="523" width="10.140625" style="7" customWidth="1"/>
    <col min="524" max="524" width="7.5703125" style="7" customWidth="1"/>
    <col min="525" max="525" width="11.5703125" style="7" customWidth="1"/>
    <col min="526" max="526" width="7.5703125" style="7" customWidth="1"/>
    <col min="527" max="527" width="11.5703125" style="7" customWidth="1"/>
    <col min="528" max="528" width="7.5703125" style="7" customWidth="1"/>
    <col min="529" max="529" width="11.7109375" style="7" customWidth="1"/>
    <col min="530" max="530" width="9.140625" style="7"/>
    <col min="531" max="531" width="13.28515625" style="7" customWidth="1"/>
    <col min="532" max="532" width="6.85546875" style="7" customWidth="1"/>
    <col min="533" max="533" width="10.7109375" style="7" customWidth="1"/>
    <col min="534" max="534" width="6.85546875" style="7" customWidth="1"/>
    <col min="535" max="535" width="10.7109375" style="7" customWidth="1"/>
    <col min="536" max="536" width="9.140625" style="7"/>
    <col min="537" max="537" width="11.42578125" style="7" customWidth="1"/>
    <col min="538" max="538" width="9.140625" style="7"/>
    <col min="539" max="539" width="13.140625" style="7" customWidth="1"/>
    <col min="540" max="540" width="11.28515625" style="7" bestFit="1" customWidth="1"/>
    <col min="541" max="541" width="13.28515625" style="7" customWidth="1"/>
    <col min="542" max="542" width="12.85546875" style="7" customWidth="1"/>
    <col min="543" max="765" width="9.140625" style="7"/>
    <col min="766" max="766" width="6" style="7" customWidth="1"/>
    <col min="767" max="767" width="6.7109375" style="7" customWidth="1"/>
    <col min="768" max="768" width="24.5703125" style="7" customWidth="1"/>
    <col min="769" max="769" width="5.42578125" style="7" customWidth="1"/>
    <col min="770" max="773" width="0" style="7" hidden="1" customWidth="1"/>
    <col min="774" max="775" width="4.5703125" style="7" customWidth="1"/>
    <col min="776" max="776" width="7.5703125" style="7" customWidth="1"/>
    <col min="777" max="777" width="7.7109375" style="7" customWidth="1"/>
    <col min="778" max="778" width="6.5703125" style="7" customWidth="1"/>
    <col min="779" max="779" width="10.140625" style="7" customWidth="1"/>
    <col min="780" max="780" width="7.5703125" style="7" customWidth="1"/>
    <col min="781" max="781" width="11.5703125" style="7" customWidth="1"/>
    <col min="782" max="782" width="7.5703125" style="7" customWidth="1"/>
    <col min="783" max="783" width="11.5703125" style="7" customWidth="1"/>
    <col min="784" max="784" width="7.5703125" style="7" customWidth="1"/>
    <col min="785" max="785" width="11.7109375" style="7" customWidth="1"/>
    <col min="786" max="786" width="9.140625" style="7"/>
    <col min="787" max="787" width="13.28515625" style="7" customWidth="1"/>
    <col min="788" max="788" width="6.85546875" style="7" customWidth="1"/>
    <col min="789" max="789" width="10.7109375" style="7" customWidth="1"/>
    <col min="790" max="790" width="6.85546875" style="7" customWidth="1"/>
    <col min="791" max="791" width="10.7109375" style="7" customWidth="1"/>
    <col min="792" max="792" width="9.140625" style="7"/>
    <col min="793" max="793" width="11.42578125" style="7" customWidth="1"/>
    <col min="794" max="794" width="9.140625" style="7"/>
    <col min="795" max="795" width="13.140625" style="7" customWidth="1"/>
    <col min="796" max="796" width="11.28515625" style="7" bestFit="1" customWidth="1"/>
    <col min="797" max="797" width="13.28515625" style="7" customWidth="1"/>
    <col min="798" max="798" width="12.85546875" style="7" customWidth="1"/>
    <col min="799" max="1021" width="9.140625" style="7"/>
    <col min="1022" max="1022" width="6" style="7" customWidth="1"/>
    <col min="1023" max="1023" width="6.7109375" style="7" customWidth="1"/>
    <col min="1024" max="1024" width="24.5703125" style="7" customWidth="1"/>
    <col min="1025" max="1025" width="5.42578125" style="7" customWidth="1"/>
    <col min="1026" max="1029" width="0" style="7" hidden="1" customWidth="1"/>
    <col min="1030" max="1031" width="4.5703125" style="7" customWidth="1"/>
    <col min="1032" max="1032" width="7.5703125" style="7" customWidth="1"/>
    <col min="1033" max="1033" width="7.7109375" style="7" customWidth="1"/>
    <col min="1034" max="1034" width="6.5703125" style="7" customWidth="1"/>
    <col min="1035" max="1035" width="10.140625" style="7" customWidth="1"/>
    <col min="1036" max="1036" width="7.5703125" style="7" customWidth="1"/>
    <col min="1037" max="1037" width="11.5703125" style="7" customWidth="1"/>
    <col min="1038" max="1038" width="7.5703125" style="7" customWidth="1"/>
    <col min="1039" max="1039" width="11.5703125" style="7" customWidth="1"/>
    <col min="1040" max="1040" width="7.5703125" style="7" customWidth="1"/>
    <col min="1041" max="1041" width="11.7109375" style="7" customWidth="1"/>
    <col min="1042" max="1042" width="9.140625" style="7"/>
    <col min="1043" max="1043" width="13.28515625" style="7" customWidth="1"/>
    <col min="1044" max="1044" width="6.85546875" style="7" customWidth="1"/>
    <col min="1045" max="1045" width="10.7109375" style="7" customWidth="1"/>
    <col min="1046" max="1046" width="6.85546875" style="7" customWidth="1"/>
    <col min="1047" max="1047" width="10.7109375" style="7" customWidth="1"/>
    <col min="1048" max="1048" width="9.140625" style="7"/>
    <col min="1049" max="1049" width="11.42578125" style="7" customWidth="1"/>
    <col min="1050" max="1050" width="9.140625" style="7"/>
    <col min="1051" max="1051" width="13.140625" style="7" customWidth="1"/>
    <col min="1052" max="1052" width="11.28515625" style="7" bestFit="1" customWidth="1"/>
    <col min="1053" max="1053" width="13.28515625" style="7" customWidth="1"/>
    <col min="1054" max="1054" width="12.85546875" style="7" customWidth="1"/>
    <col min="1055" max="1277" width="9.140625" style="7"/>
    <col min="1278" max="1278" width="6" style="7" customWidth="1"/>
    <col min="1279" max="1279" width="6.7109375" style="7" customWidth="1"/>
    <col min="1280" max="1280" width="24.5703125" style="7" customWidth="1"/>
    <col min="1281" max="1281" width="5.42578125" style="7" customWidth="1"/>
    <col min="1282" max="1285" width="0" style="7" hidden="1" customWidth="1"/>
    <col min="1286" max="1287" width="4.5703125" style="7" customWidth="1"/>
    <col min="1288" max="1288" width="7.5703125" style="7" customWidth="1"/>
    <col min="1289" max="1289" width="7.7109375" style="7" customWidth="1"/>
    <col min="1290" max="1290" width="6.5703125" style="7" customWidth="1"/>
    <col min="1291" max="1291" width="10.140625" style="7" customWidth="1"/>
    <col min="1292" max="1292" width="7.5703125" style="7" customWidth="1"/>
    <col min="1293" max="1293" width="11.5703125" style="7" customWidth="1"/>
    <col min="1294" max="1294" width="7.5703125" style="7" customWidth="1"/>
    <col min="1295" max="1295" width="11.5703125" style="7" customWidth="1"/>
    <col min="1296" max="1296" width="7.5703125" style="7" customWidth="1"/>
    <col min="1297" max="1297" width="11.7109375" style="7" customWidth="1"/>
    <col min="1298" max="1298" width="9.140625" style="7"/>
    <col min="1299" max="1299" width="13.28515625" style="7" customWidth="1"/>
    <col min="1300" max="1300" width="6.85546875" style="7" customWidth="1"/>
    <col min="1301" max="1301" width="10.7109375" style="7" customWidth="1"/>
    <col min="1302" max="1302" width="6.85546875" style="7" customWidth="1"/>
    <col min="1303" max="1303" width="10.7109375" style="7" customWidth="1"/>
    <col min="1304" max="1304" width="9.140625" style="7"/>
    <col min="1305" max="1305" width="11.42578125" style="7" customWidth="1"/>
    <col min="1306" max="1306" width="9.140625" style="7"/>
    <col min="1307" max="1307" width="13.140625" style="7" customWidth="1"/>
    <col min="1308" max="1308" width="11.28515625" style="7" bestFit="1" customWidth="1"/>
    <col min="1309" max="1309" width="13.28515625" style="7" customWidth="1"/>
    <col min="1310" max="1310" width="12.85546875" style="7" customWidth="1"/>
    <col min="1311" max="1533" width="9.140625" style="7"/>
    <col min="1534" max="1534" width="6" style="7" customWidth="1"/>
    <col min="1535" max="1535" width="6.7109375" style="7" customWidth="1"/>
    <col min="1536" max="1536" width="24.5703125" style="7" customWidth="1"/>
    <col min="1537" max="1537" width="5.42578125" style="7" customWidth="1"/>
    <col min="1538" max="1541" width="0" style="7" hidden="1" customWidth="1"/>
    <col min="1542" max="1543" width="4.5703125" style="7" customWidth="1"/>
    <col min="1544" max="1544" width="7.5703125" style="7" customWidth="1"/>
    <col min="1545" max="1545" width="7.7109375" style="7" customWidth="1"/>
    <col min="1546" max="1546" width="6.5703125" style="7" customWidth="1"/>
    <col min="1547" max="1547" width="10.140625" style="7" customWidth="1"/>
    <col min="1548" max="1548" width="7.5703125" style="7" customWidth="1"/>
    <col min="1549" max="1549" width="11.5703125" style="7" customWidth="1"/>
    <col min="1550" max="1550" width="7.5703125" style="7" customWidth="1"/>
    <col min="1551" max="1551" width="11.5703125" style="7" customWidth="1"/>
    <col min="1552" max="1552" width="7.5703125" style="7" customWidth="1"/>
    <col min="1553" max="1553" width="11.7109375" style="7" customWidth="1"/>
    <col min="1554" max="1554" width="9.140625" style="7"/>
    <col min="1555" max="1555" width="13.28515625" style="7" customWidth="1"/>
    <col min="1556" max="1556" width="6.85546875" style="7" customWidth="1"/>
    <col min="1557" max="1557" width="10.7109375" style="7" customWidth="1"/>
    <col min="1558" max="1558" width="6.85546875" style="7" customWidth="1"/>
    <col min="1559" max="1559" width="10.7109375" style="7" customWidth="1"/>
    <col min="1560" max="1560" width="9.140625" style="7"/>
    <col min="1561" max="1561" width="11.42578125" style="7" customWidth="1"/>
    <col min="1562" max="1562" width="9.140625" style="7"/>
    <col min="1563" max="1563" width="13.140625" style="7" customWidth="1"/>
    <col min="1564" max="1564" width="11.28515625" style="7" bestFit="1" customWidth="1"/>
    <col min="1565" max="1565" width="13.28515625" style="7" customWidth="1"/>
    <col min="1566" max="1566" width="12.85546875" style="7" customWidth="1"/>
    <col min="1567" max="1789" width="9.140625" style="7"/>
    <col min="1790" max="1790" width="6" style="7" customWidth="1"/>
    <col min="1791" max="1791" width="6.7109375" style="7" customWidth="1"/>
    <col min="1792" max="1792" width="24.5703125" style="7" customWidth="1"/>
    <col min="1793" max="1793" width="5.42578125" style="7" customWidth="1"/>
    <col min="1794" max="1797" width="0" style="7" hidden="1" customWidth="1"/>
    <col min="1798" max="1799" width="4.5703125" style="7" customWidth="1"/>
    <col min="1800" max="1800" width="7.5703125" style="7" customWidth="1"/>
    <col min="1801" max="1801" width="7.7109375" style="7" customWidth="1"/>
    <col min="1802" max="1802" width="6.5703125" style="7" customWidth="1"/>
    <col min="1803" max="1803" width="10.140625" style="7" customWidth="1"/>
    <col min="1804" max="1804" width="7.5703125" style="7" customWidth="1"/>
    <col min="1805" max="1805" width="11.5703125" style="7" customWidth="1"/>
    <col min="1806" max="1806" width="7.5703125" style="7" customWidth="1"/>
    <col min="1807" max="1807" width="11.5703125" style="7" customWidth="1"/>
    <col min="1808" max="1808" width="7.5703125" style="7" customWidth="1"/>
    <col min="1809" max="1809" width="11.7109375" style="7" customWidth="1"/>
    <col min="1810" max="1810" width="9.140625" style="7"/>
    <col min="1811" max="1811" width="13.28515625" style="7" customWidth="1"/>
    <col min="1812" max="1812" width="6.85546875" style="7" customWidth="1"/>
    <col min="1813" max="1813" width="10.7109375" style="7" customWidth="1"/>
    <col min="1814" max="1814" width="6.85546875" style="7" customWidth="1"/>
    <col min="1815" max="1815" width="10.7109375" style="7" customWidth="1"/>
    <col min="1816" max="1816" width="9.140625" style="7"/>
    <col min="1817" max="1817" width="11.42578125" style="7" customWidth="1"/>
    <col min="1818" max="1818" width="9.140625" style="7"/>
    <col min="1819" max="1819" width="13.140625" style="7" customWidth="1"/>
    <col min="1820" max="1820" width="11.28515625" style="7" bestFit="1" customWidth="1"/>
    <col min="1821" max="1821" width="13.28515625" style="7" customWidth="1"/>
    <col min="1822" max="1822" width="12.85546875" style="7" customWidth="1"/>
    <col min="1823" max="2045" width="9.140625" style="7"/>
    <col min="2046" max="2046" width="6" style="7" customWidth="1"/>
    <col min="2047" max="2047" width="6.7109375" style="7" customWidth="1"/>
    <col min="2048" max="2048" width="24.5703125" style="7" customWidth="1"/>
    <col min="2049" max="2049" width="5.42578125" style="7" customWidth="1"/>
    <col min="2050" max="2053" width="0" style="7" hidden="1" customWidth="1"/>
    <col min="2054" max="2055" width="4.5703125" style="7" customWidth="1"/>
    <col min="2056" max="2056" width="7.5703125" style="7" customWidth="1"/>
    <col min="2057" max="2057" width="7.7109375" style="7" customWidth="1"/>
    <col min="2058" max="2058" width="6.5703125" style="7" customWidth="1"/>
    <col min="2059" max="2059" width="10.140625" style="7" customWidth="1"/>
    <col min="2060" max="2060" width="7.5703125" style="7" customWidth="1"/>
    <col min="2061" max="2061" width="11.5703125" style="7" customWidth="1"/>
    <col min="2062" max="2062" width="7.5703125" style="7" customWidth="1"/>
    <col min="2063" max="2063" width="11.5703125" style="7" customWidth="1"/>
    <col min="2064" max="2064" width="7.5703125" style="7" customWidth="1"/>
    <col min="2065" max="2065" width="11.7109375" style="7" customWidth="1"/>
    <col min="2066" max="2066" width="9.140625" style="7"/>
    <col min="2067" max="2067" width="13.28515625" style="7" customWidth="1"/>
    <col min="2068" max="2068" width="6.85546875" style="7" customWidth="1"/>
    <col min="2069" max="2069" width="10.7109375" style="7" customWidth="1"/>
    <col min="2070" max="2070" width="6.85546875" style="7" customWidth="1"/>
    <col min="2071" max="2071" width="10.7109375" style="7" customWidth="1"/>
    <col min="2072" max="2072" width="9.140625" style="7"/>
    <col min="2073" max="2073" width="11.42578125" style="7" customWidth="1"/>
    <col min="2074" max="2074" width="9.140625" style="7"/>
    <col min="2075" max="2075" width="13.140625" style="7" customWidth="1"/>
    <col min="2076" max="2076" width="11.28515625" style="7" bestFit="1" customWidth="1"/>
    <col min="2077" max="2077" width="13.28515625" style="7" customWidth="1"/>
    <col min="2078" max="2078" width="12.85546875" style="7" customWidth="1"/>
    <col min="2079" max="2301" width="9.140625" style="7"/>
    <col min="2302" max="2302" width="6" style="7" customWidth="1"/>
    <col min="2303" max="2303" width="6.7109375" style="7" customWidth="1"/>
    <col min="2304" max="2304" width="24.5703125" style="7" customWidth="1"/>
    <col min="2305" max="2305" width="5.42578125" style="7" customWidth="1"/>
    <col min="2306" max="2309" width="0" style="7" hidden="1" customWidth="1"/>
    <col min="2310" max="2311" width="4.5703125" style="7" customWidth="1"/>
    <col min="2312" max="2312" width="7.5703125" style="7" customWidth="1"/>
    <col min="2313" max="2313" width="7.7109375" style="7" customWidth="1"/>
    <col min="2314" max="2314" width="6.5703125" style="7" customWidth="1"/>
    <col min="2315" max="2315" width="10.140625" style="7" customWidth="1"/>
    <col min="2316" max="2316" width="7.5703125" style="7" customWidth="1"/>
    <col min="2317" max="2317" width="11.5703125" style="7" customWidth="1"/>
    <col min="2318" max="2318" width="7.5703125" style="7" customWidth="1"/>
    <col min="2319" max="2319" width="11.5703125" style="7" customWidth="1"/>
    <col min="2320" max="2320" width="7.5703125" style="7" customWidth="1"/>
    <col min="2321" max="2321" width="11.7109375" style="7" customWidth="1"/>
    <col min="2322" max="2322" width="9.140625" style="7"/>
    <col min="2323" max="2323" width="13.28515625" style="7" customWidth="1"/>
    <col min="2324" max="2324" width="6.85546875" style="7" customWidth="1"/>
    <col min="2325" max="2325" width="10.7109375" style="7" customWidth="1"/>
    <col min="2326" max="2326" width="6.85546875" style="7" customWidth="1"/>
    <col min="2327" max="2327" width="10.7109375" style="7" customWidth="1"/>
    <col min="2328" max="2328" width="9.140625" style="7"/>
    <col min="2329" max="2329" width="11.42578125" style="7" customWidth="1"/>
    <col min="2330" max="2330" width="9.140625" style="7"/>
    <col min="2331" max="2331" width="13.140625" style="7" customWidth="1"/>
    <col min="2332" max="2332" width="11.28515625" style="7" bestFit="1" customWidth="1"/>
    <col min="2333" max="2333" width="13.28515625" style="7" customWidth="1"/>
    <col min="2334" max="2334" width="12.85546875" style="7" customWidth="1"/>
    <col min="2335" max="2557" width="9.140625" style="7"/>
    <col min="2558" max="2558" width="6" style="7" customWidth="1"/>
    <col min="2559" max="2559" width="6.7109375" style="7" customWidth="1"/>
    <col min="2560" max="2560" width="24.5703125" style="7" customWidth="1"/>
    <col min="2561" max="2561" width="5.42578125" style="7" customWidth="1"/>
    <col min="2562" max="2565" width="0" style="7" hidden="1" customWidth="1"/>
    <col min="2566" max="2567" width="4.5703125" style="7" customWidth="1"/>
    <col min="2568" max="2568" width="7.5703125" style="7" customWidth="1"/>
    <col min="2569" max="2569" width="7.7109375" style="7" customWidth="1"/>
    <col min="2570" max="2570" width="6.5703125" style="7" customWidth="1"/>
    <col min="2571" max="2571" width="10.140625" style="7" customWidth="1"/>
    <col min="2572" max="2572" width="7.5703125" style="7" customWidth="1"/>
    <col min="2573" max="2573" width="11.5703125" style="7" customWidth="1"/>
    <col min="2574" max="2574" width="7.5703125" style="7" customWidth="1"/>
    <col min="2575" max="2575" width="11.5703125" style="7" customWidth="1"/>
    <col min="2576" max="2576" width="7.5703125" style="7" customWidth="1"/>
    <col min="2577" max="2577" width="11.7109375" style="7" customWidth="1"/>
    <col min="2578" max="2578" width="9.140625" style="7"/>
    <col min="2579" max="2579" width="13.28515625" style="7" customWidth="1"/>
    <col min="2580" max="2580" width="6.85546875" style="7" customWidth="1"/>
    <col min="2581" max="2581" width="10.7109375" style="7" customWidth="1"/>
    <col min="2582" max="2582" width="6.85546875" style="7" customWidth="1"/>
    <col min="2583" max="2583" width="10.7109375" style="7" customWidth="1"/>
    <col min="2584" max="2584" width="9.140625" style="7"/>
    <col min="2585" max="2585" width="11.42578125" style="7" customWidth="1"/>
    <col min="2586" max="2586" width="9.140625" style="7"/>
    <col min="2587" max="2587" width="13.140625" style="7" customWidth="1"/>
    <col min="2588" max="2588" width="11.28515625" style="7" bestFit="1" customWidth="1"/>
    <col min="2589" max="2589" width="13.28515625" style="7" customWidth="1"/>
    <col min="2590" max="2590" width="12.85546875" style="7" customWidth="1"/>
    <col min="2591" max="2813" width="9.140625" style="7"/>
    <col min="2814" max="2814" width="6" style="7" customWidth="1"/>
    <col min="2815" max="2815" width="6.7109375" style="7" customWidth="1"/>
    <col min="2816" max="2816" width="24.5703125" style="7" customWidth="1"/>
    <col min="2817" max="2817" width="5.42578125" style="7" customWidth="1"/>
    <col min="2818" max="2821" width="0" style="7" hidden="1" customWidth="1"/>
    <col min="2822" max="2823" width="4.5703125" style="7" customWidth="1"/>
    <col min="2824" max="2824" width="7.5703125" style="7" customWidth="1"/>
    <col min="2825" max="2825" width="7.7109375" style="7" customWidth="1"/>
    <col min="2826" max="2826" width="6.5703125" style="7" customWidth="1"/>
    <col min="2827" max="2827" width="10.140625" style="7" customWidth="1"/>
    <col min="2828" max="2828" width="7.5703125" style="7" customWidth="1"/>
    <col min="2829" max="2829" width="11.5703125" style="7" customWidth="1"/>
    <col min="2830" max="2830" width="7.5703125" style="7" customWidth="1"/>
    <col min="2831" max="2831" width="11.5703125" style="7" customWidth="1"/>
    <col min="2832" max="2832" width="7.5703125" style="7" customWidth="1"/>
    <col min="2833" max="2833" width="11.7109375" style="7" customWidth="1"/>
    <col min="2834" max="2834" width="9.140625" style="7"/>
    <col min="2835" max="2835" width="13.28515625" style="7" customWidth="1"/>
    <col min="2836" max="2836" width="6.85546875" style="7" customWidth="1"/>
    <col min="2837" max="2837" width="10.7109375" style="7" customWidth="1"/>
    <col min="2838" max="2838" width="6.85546875" style="7" customWidth="1"/>
    <col min="2839" max="2839" width="10.7109375" style="7" customWidth="1"/>
    <col min="2840" max="2840" width="9.140625" style="7"/>
    <col min="2841" max="2841" width="11.42578125" style="7" customWidth="1"/>
    <col min="2842" max="2842" width="9.140625" style="7"/>
    <col min="2843" max="2843" width="13.140625" style="7" customWidth="1"/>
    <col min="2844" max="2844" width="11.28515625" style="7" bestFit="1" customWidth="1"/>
    <col min="2845" max="2845" width="13.28515625" style="7" customWidth="1"/>
    <col min="2846" max="2846" width="12.85546875" style="7" customWidth="1"/>
    <col min="2847" max="3069" width="9.140625" style="7"/>
    <col min="3070" max="3070" width="6" style="7" customWidth="1"/>
    <col min="3071" max="3071" width="6.7109375" style="7" customWidth="1"/>
    <col min="3072" max="3072" width="24.5703125" style="7" customWidth="1"/>
    <col min="3073" max="3073" width="5.42578125" style="7" customWidth="1"/>
    <col min="3074" max="3077" width="0" style="7" hidden="1" customWidth="1"/>
    <col min="3078" max="3079" width="4.5703125" style="7" customWidth="1"/>
    <col min="3080" max="3080" width="7.5703125" style="7" customWidth="1"/>
    <col min="3081" max="3081" width="7.7109375" style="7" customWidth="1"/>
    <col min="3082" max="3082" width="6.5703125" style="7" customWidth="1"/>
    <col min="3083" max="3083" width="10.140625" style="7" customWidth="1"/>
    <col min="3084" max="3084" width="7.5703125" style="7" customWidth="1"/>
    <col min="3085" max="3085" width="11.5703125" style="7" customWidth="1"/>
    <col min="3086" max="3086" width="7.5703125" style="7" customWidth="1"/>
    <col min="3087" max="3087" width="11.5703125" style="7" customWidth="1"/>
    <col min="3088" max="3088" width="7.5703125" style="7" customWidth="1"/>
    <col min="3089" max="3089" width="11.7109375" style="7" customWidth="1"/>
    <col min="3090" max="3090" width="9.140625" style="7"/>
    <col min="3091" max="3091" width="13.28515625" style="7" customWidth="1"/>
    <col min="3092" max="3092" width="6.85546875" style="7" customWidth="1"/>
    <col min="3093" max="3093" width="10.7109375" style="7" customWidth="1"/>
    <col min="3094" max="3094" width="6.85546875" style="7" customWidth="1"/>
    <col min="3095" max="3095" width="10.7109375" style="7" customWidth="1"/>
    <col min="3096" max="3096" width="9.140625" style="7"/>
    <col min="3097" max="3097" width="11.42578125" style="7" customWidth="1"/>
    <col min="3098" max="3098" width="9.140625" style="7"/>
    <col min="3099" max="3099" width="13.140625" style="7" customWidth="1"/>
    <col min="3100" max="3100" width="11.28515625" style="7" bestFit="1" customWidth="1"/>
    <col min="3101" max="3101" width="13.28515625" style="7" customWidth="1"/>
    <col min="3102" max="3102" width="12.85546875" style="7" customWidth="1"/>
    <col min="3103" max="3325" width="9.140625" style="7"/>
    <col min="3326" max="3326" width="6" style="7" customWidth="1"/>
    <col min="3327" max="3327" width="6.7109375" style="7" customWidth="1"/>
    <col min="3328" max="3328" width="24.5703125" style="7" customWidth="1"/>
    <col min="3329" max="3329" width="5.42578125" style="7" customWidth="1"/>
    <col min="3330" max="3333" width="0" style="7" hidden="1" customWidth="1"/>
    <col min="3334" max="3335" width="4.5703125" style="7" customWidth="1"/>
    <col min="3336" max="3336" width="7.5703125" style="7" customWidth="1"/>
    <col min="3337" max="3337" width="7.7109375" style="7" customWidth="1"/>
    <col min="3338" max="3338" width="6.5703125" style="7" customWidth="1"/>
    <col min="3339" max="3339" width="10.140625" style="7" customWidth="1"/>
    <col min="3340" max="3340" width="7.5703125" style="7" customWidth="1"/>
    <col min="3341" max="3341" width="11.5703125" style="7" customWidth="1"/>
    <col min="3342" max="3342" width="7.5703125" style="7" customWidth="1"/>
    <col min="3343" max="3343" width="11.5703125" style="7" customWidth="1"/>
    <col min="3344" max="3344" width="7.5703125" style="7" customWidth="1"/>
    <col min="3345" max="3345" width="11.7109375" style="7" customWidth="1"/>
    <col min="3346" max="3346" width="9.140625" style="7"/>
    <col min="3347" max="3347" width="13.28515625" style="7" customWidth="1"/>
    <col min="3348" max="3348" width="6.85546875" style="7" customWidth="1"/>
    <col min="3349" max="3349" width="10.7109375" style="7" customWidth="1"/>
    <col min="3350" max="3350" width="6.85546875" style="7" customWidth="1"/>
    <col min="3351" max="3351" width="10.7109375" style="7" customWidth="1"/>
    <col min="3352" max="3352" width="9.140625" style="7"/>
    <col min="3353" max="3353" width="11.42578125" style="7" customWidth="1"/>
    <col min="3354" max="3354" width="9.140625" style="7"/>
    <col min="3355" max="3355" width="13.140625" style="7" customWidth="1"/>
    <col min="3356" max="3356" width="11.28515625" style="7" bestFit="1" customWidth="1"/>
    <col min="3357" max="3357" width="13.28515625" style="7" customWidth="1"/>
    <col min="3358" max="3358" width="12.85546875" style="7" customWidth="1"/>
    <col min="3359" max="3581" width="9.140625" style="7"/>
    <col min="3582" max="3582" width="6" style="7" customWidth="1"/>
    <col min="3583" max="3583" width="6.7109375" style="7" customWidth="1"/>
    <col min="3584" max="3584" width="24.5703125" style="7" customWidth="1"/>
    <col min="3585" max="3585" width="5.42578125" style="7" customWidth="1"/>
    <col min="3586" max="3589" width="0" style="7" hidden="1" customWidth="1"/>
    <col min="3590" max="3591" width="4.5703125" style="7" customWidth="1"/>
    <col min="3592" max="3592" width="7.5703125" style="7" customWidth="1"/>
    <col min="3593" max="3593" width="7.7109375" style="7" customWidth="1"/>
    <col min="3594" max="3594" width="6.5703125" style="7" customWidth="1"/>
    <col min="3595" max="3595" width="10.140625" style="7" customWidth="1"/>
    <col min="3596" max="3596" width="7.5703125" style="7" customWidth="1"/>
    <col min="3597" max="3597" width="11.5703125" style="7" customWidth="1"/>
    <col min="3598" max="3598" width="7.5703125" style="7" customWidth="1"/>
    <col min="3599" max="3599" width="11.5703125" style="7" customWidth="1"/>
    <col min="3600" max="3600" width="7.5703125" style="7" customWidth="1"/>
    <col min="3601" max="3601" width="11.7109375" style="7" customWidth="1"/>
    <col min="3602" max="3602" width="9.140625" style="7"/>
    <col min="3603" max="3603" width="13.28515625" style="7" customWidth="1"/>
    <col min="3604" max="3604" width="6.85546875" style="7" customWidth="1"/>
    <col min="3605" max="3605" width="10.7109375" style="7" customWidth="1"/>
    <col min="3606" max="3606" width="6.85546875" style="7" customWidth="1"/>
    <col min="3607" max="3607" width="10.7109375" style="7" customWidth="1"/>
    <col min="3608" max="3608" width="9.140625" style="7"/>
    <col min="3609" max="3609" width="11.42578125" style="7" customWidth="1"/>
    <col min="3610" max="3610" width="9.140625" style="7"/>
    <col min="3611" max="3611" width="13.140625" style="7" customWidth="1"/>
    <col min="3612" max="3612" width="11.28515625" style="7" bestFit="1" customWidth="1"/>
    <col min="3613" max="3613" width="13.28515625" style="7" customWidth="1"/>
    <col min="3614" max="3614" width="12.85546875" style="7" customWidth="1"/>
    <col min="3615" max="3837" width="9.140625" style="7"/>
    <col min="3838" max="3838" width="6" style="7" customWidth="1"/>
    <col min="3839" max="3839" width="6.7109375" style="7" customWidth="1"/>
    <col min="3840" max="3840" width="24.5703125" style="7" customWidth="1"/>
    <col min="3841" max="3841" width="5.42578125" style="7" customWidth="1"/>
    <col min="3842" max="3845" width="0" style="7" hidden="1" customWidth="1"/>
    <col min="3846" max="3847" width="4.5703125" style="7" customWidth="1"/>
    <col min="3848" max="3848" width="7.5703125" style="7" customWidth="1"/>
    <col min="3849" max="3849" width="7.7109375" style="7" customWidth="1"/>
    <col min="3850" max="3850" width="6.5703125" style="7" customWidth="1"/>
    <col min="3851" max="3851" width="10.140625" style="7" customWidth="1"/>
    <col min="3852" max="3852" width="7.5703125" style="7" customWidth="1"/>
    <col min="3853" max="3853" width="11.5703125" style="7" customWidth="1"/>
    <col min="3854" max="3854" width="7.5703125" style="7" customWidth="1"/>
    <col min="3855" max="3855" width="11.5703125" style="7" customWidth="1"/>
    <col min="3856" max="3856" width="7.5703125" style="7" customWidth="1"/>
    <col min="3857" max="3857" width="11.7109375" style="7" customWidth="1"/>
    <col min="3858" max="3858" width="9.140625" style="7"/>
    <col min="3859" max="3859" width="13.28515625" style="7" customWidth="1"/>
    <col min="3860" max="3860" width="6.85546875" style="7" customWidth="1"/>
    <col min="3861" max="3861" width="10.7109375" style="7" customWidth="1"/>
    <col min="3862" max="3862" width="6.85546875" style="7" customWidth="1"/>
    <col min="3863" max="3863" width="10.7109375" style="7" customWidth="1"/>
    <col min="3864" max="3864" width="9.140625" style="7"/>
    <col min="3865" max="3865" width="11.42578125" style="7" customWidth="1"/>
    <col min="3866" max="3866" width="9.140625" style="7"/>
    <col min="3867" max="3867" width="13.140625" style="7" customWidth="1"/>
    <col min="3868" max="3868" width="11.28515625" style="7" bestFit="1" customWidth="1"/>
    <col min="3869" max="3869" width="13.28515625" style="7" customWidth="1"/>
    <col min="3870" max="3870" width="12.85546875" style="7" customWidth="1"/>
    <col min="3871" max="4093" width="9.140625" style="7"/>
    <col min="4094" max="4094" width="6" style="7" customWidth="1"/>
    <col min="4095" max="4095" width="6.7109375" style="7" customWidth="1"/>
    <col min="4096" max="4096" width="24.5703125" style="7" customWidth="1"/>
    <col min="4097" max="4097" width="5.42578125" style="7" customWidth="1"/>
    <col min="4098" max="4101" width="0" style="7" hidden="1" customWidth="1"/>
    <col min="4102" max="4103" width="4.5703125" style="7" customWidth="1"/>
    <col min="4104" max="4104" width="7.5703125" style="7" customWidth="1"/>
    <col min="4105" max="4105" width="7.7109375" style="7" customWidth="1"/>
    <col min="4106" max="4106" width="6.5703125" style="7" customWidth="1"/>
    <col min="4107" max="4107" width="10.140625" style="7" customWidth="1"/>
    <col min="4108" max="4108" width="7.5703125" style="7" customWidth="1"/>
    <col min="4109" max="4109" width="11.5703125" style="7" customWidth="1"/>
    <col min="4110" max="4110" width="7.5703125" style="7" customWidth="1"/>
    <col min="4111" max="4111" width="11.5703125" style="7" customWidth="1"/>
    <col min="4112" max="4112" width="7.5703125" style="7" customWidth="1"/>
    <col min="4113" max="4113" width="11.7109375" style="7" customWidth="1"/>
    <col min="4114" max="4114" width="9.140625" style="7"/>
    <col min="4115" max="4115" width="13.28515625" style="7" customWidth="1"/>
    <col min="4116" max="4116" width="6.85546875" style="7" customWidth="1"/>
    <col min="4117" max="4117" width="10.7109375" style="7" customWidth="1"/>
    <col min="4118" max="4118" width="6.85546875" style="7" customWidth="1"/>
    <col min="4119" max="4119" width="10.7109375" style="7" customWidth="1"/>
    <col min="4120" max="4120" width="9.140625" style="7"/>
    <col min="4121" max="4121" width="11.42578125" style="7" customWidth="1"/>
    <col min="4122" max="4122" width="9.140625" style="7"/>
    <col min="4123" max="4123" width="13.140625" style="7" customWidth="1"/>
    <col min="4124" max="4124" width="11.28515625" style="7" bestFit="1" customWidth="1"/>
    <col min="4125" max="4125" width="13.28515625" style="7" customWidth="1"/>
    <col min="4126" max="4126" width="12.85546875" style="7" customWidth="1"/>
    <col min="4127" max="4349" width="9.140625" style="7"/>
    <col min="4350" max="4350" width="6" style="7" customWidth="1"/>
    <col min="4351" max="4351" width="6.7109375" style="7" customWidth="1"/>
    <col min="4352" max="4352" width="24.5703125" style="7" customWidth="1"/>
    <col min="4353" max="4353" width="5.42578125" style="7" customWidth="1"/>
    <col min="4354" max="4357" width="0" style="7" hidden="1" customWidth="1"/>
    <col min="4358" max="4359" width="4.5703125" style="7" customWidth="1"/>
    <col min="4360" max="4360" width="7.5703125" style="7" customWidth="1"/>
    <col min="4361" max="4361" width="7.7109375" style="7" customWidth="1"/>
    <col min="4362" max="4362" width="6.5703125" style="7" customWidth="1"/>
    <col min="4363" max="4363" width="10.140625" style="7" customWidth="1"/>
    <col min="4364" max="4364" width="7.5703125" style="7" customWidth="1"/>
    <col min="4365" max="4365" width="11.5703125" style="7" customWidth="1"/>
    <col min="4366" max="4366" width="7.5703125" style="7" customWidth="1"/>
    <col min="4367" max="4367" width="11.5703125" style="7" customWidth="1"/>
    <col min="4368" max="4368" width="7.5703125" style="7" customWidth="1"/>
    <col min="4369" max="4369" width="11.7109375" style="7" customWidth="1"/>
    <col min="4370" max="4370" width="9.140625" style="7"/>
    <col min="4371" max="4371" width="13.28515625" style="7" customWidth="1"/>
    <col min="4372" max="4372" width="6.85546875" style="7" customWidth="1"/>
    <col min="4373" max="4373" width="10.7109375" style="7" customWidth="1"/>
    <col min="4374" max="4374" width="6.85546875" style="7" customWidth="1"/>
    <col min="4375" max="4375" width="10.7109375" style="7" customWidth="1"/>
    <col min="4376" max="4376" width="9.140625" style="7"/>
    <col min="4377" max="4377" width="11.42578125" style="7" customWidth="1"/>
    <col min="4378" max="4378" width="9.140625" style="7"/>
    <col min="4379" max="4379" width="13.140625" style="7" customWidth="1"/>
    <col min="4380" max="4380" width="11.28515625" style="7" bestFit="1" customWidth="1"/>
    <col min="4381" max="4381" width="13.28515625" style="7" customWidth="1"/>
    <col min="4382" max="4382" width="12.85546875" style="7" customWidth="1"/>
    <col min="4383" max="4605" width="9.140625" style="7"/>
    <col min="4606" max="4606" width="6" style="7" customWidth="1"/>
    <col min="4607" max="4607" width="6.7109375" style="7" customWidth="1"/>
    <col min="4608" max="4608" width="24.5703125" style="7" customWidth="1"/>
    <col min="4609" max="4609" width="5.42578125" style="7" customWidth="1"/>
    <col min="4610" max="4613" width="0" style="7" hidden="1" customWidth="1"/>
    <col min="4614" max="4615" width="4.5703125" style="7" customWidth="1"/>
    <col min="4616" max="4616" width="7.5703125" style="7" customWidth="1"/>
    <col min="4617" max="4617" width="7.7109375" style="7" customWidth="1"/>
    <col min="4618" max="4618" width="6.5703125" style="7" customWidth="1"/>
    <col min="4619" max="4619" width="10.140625" style="7" customWidth="1"/>
    <col min="4620" max="4620" width="7.5703125" style="7" customWidth="1"/>
    <col min="4621" max="4621" width="11.5703125" style="7" customWidth="1"/>
    <col min="4622" max="4622" width="7.5703125" style="7" customWidth="1"/>
    <col min="4623" max="4623" width="11.5703125" style="7" customWidth="1"/>
    <col min="4624" max="4624" width="7.5703125" style="7" customWidth="1"/>
    <col min="4625" max="4625" width="11.7109375" style="7" customWidth="1"/>
    <col min="4626" max="4626" width="9.140625" style="7"/>
    <col min="4627" max="4627" width="13.28515625" style="7" customWidth="1"/>
    <col min="4628" max="4628" width="6.85546875" style="7" customWidth="1"/>
    <col min="4629" max="4629" width="10.7109375" style="7" customWidth="1"/>
    <col min="4630" max="4630" width="6.85546875" style="7" customWidth="1"/>
    <col min="4631" max="4631" width="10.7109375" style="7" customWidth="1"/>
    <col min="4632" max="4632" width="9.140625" style="7"/>
    <col min="4633" max="4633" width="11.42578125" style="7" customWidth="1"/>
    <col min="4634" max="4634" width="9.140625" style="7"/>
    <col min="4635" max="4635" width="13.140625" style="7" customWidth="1"/>
    <col min="4636" max="4636" width="11.28515625" style="7" bestFit="1" customWidth="1"/>
    <col min="4637" max="4637" width="13.28515625" style="7" customWidth="1"/>
    <col min="4638" max="4638" width="12.85546875" style="7" customWidth="1"/>
    <col min="4639" max="4861" width="9.140625" style="7"/>
    <col min="4862" max="4862" width="6" style="7" customWidth="1"/>
    <col min="4863" max="4863" width="6.7109375" style="7" customWidth="1"/>
    <col min="4864" max="4864" width="24.5703125" style="7" customWidth="1"/>
    <col min="4865" max="4865" width="5.42578125" style="7" customWidth="1"/>
    <col min="4866" max="4869" width="0" style="7" hidden="1" customWidth="1"/>
    <col min="4870" max="4871" width="4.5703125" style="7" customWidth="1"/>
    <col min="4872" max="4872" width="7.5703125" style="7" customWidth="1"/>
    <col min="4873" max="4873" width="7.7109375" style="7" customWidth="1"/>
    <col min="4874" max="4874" width="6.5703125" style="7" customWidth="1"/>
    <col min="4875" max="4875" width="10.140625" style="7" customWidth="1"/>
    <col min="4876" max="4876" width="7.5703125" style="7" customWidth="1"/>
    <col min="4877" max="4877" width="11.5703125" style="7" customWidth="1"/>
    <col min="4878" max="4878" width="7.5703125" style="7" customWidth="1"/>
    <col min="4879" max="4879" width="11.5703125" style="7" customWidth="1"/>
    <col min="4880" max="4880" width="7.5703125" style="7" customWidth="1"/>
    <col min="4881" max="4881" width="11.7109375" style="7" customWidth="1"/>
    <col min="4882" max="4882" width="9.140625" style="7"/>
    <col min="4883" max="4883" width="13.28515625" style="7" customWidth="1"/>
    <col min="4884" max="4884" width="6.85546875" style="7" customWidth="1"/>
    <col min="4885" max="4885" width="10.7109375" style="7" customWidth="1"/>
    <col min="4886" max="4886" width="6.85546875" style="7" customWidth="1"/>
    <col min="4887" max="4887" width="10.7109375" style="7" customWidth="1"/>
    <col min="4888" max="4888" width="9.140625" style="7"/>
    <col min="4889" max="4889" width="11.42578125" style="7" customWidth="1"/>
    <col min="4890" max="4890" width="9.140625" style="7"/>
    <col min="4891" max="4891" width="13.140625" style="7" customWidth="1"/>
    <col min="4892" max="4892" width="11.28515625" style="7" bestFit="1" customWidth="1"/>
    <col min="4893" max="4893" width="13.28515625" style="7" customWidth="1"/>
    <col min="4894" max="4894" width="12.85546875" style="7" customWidth="1"/>
    <col min="4895" max="5117" width="9.140625" style="7"/>
    <col min="5118" max="5118" width="6" style="7" customWidth="1"/>
    <col min="5119" max="5119" width="6.7109375" style="7" customWidth="1"/>
    <col min="5120" max="5120" width="24.5703125" style="7" customWidth="1"/>
    <col min="5121" max="5121" width="5.42578125" style="7" customWidth="1"/>
    <col min="5122" max="5125" width="0" style="7" hidden="1" customWidth="1"/>
    <col min="5126" max="5127" width="4.5703125" style="7" customWidth="1"/>
    <col min="5128" max="5128" width="7.5703125" style="7" customWidth="1"/>
    <col min="5129" max="5129" width="7.7109375" style="7" customWidth="1"/>
    <col min="5130" max="5130" width="6.5703125" style="7" customWidth="1"/>
    <col min="5131" max="5131" width="10.140625" style="7" customWidth="1"/>
    <col min="5132" max="5132" width="7.5703125" style="7" customWidth="1"/>
    <col min="5133" max="5133" width="11.5703125" style="7" customWidth="1"/>
    <col min="5134" max="5134" width="7.5703125" style="7" customWidth="1"/>
    <col min="5135" max="5135" width="11.5703125" style="7" customWidth="1"/>
    <col min="5136" max="5136" width="7.5703125" style="7" customWidth="1"/>
    <col min="5137" max="5137" width="11.7109375" style="7" customWidth="1"/>
    <col min="5138" max="5138" width="9.140625" style="7"/>
    <col min="5139" max="5139" width="13.28515625" style="7" customWidth="1"/>
    <col min="5140" max="5140" width="6.85546875" style="7" customWidth="1"/>
    <col min="5141" max="5141" width="10.7109375" style="7" customWidth="1"/>
    <col min="5142" max="5142" width="6.85546875" style="7" customWidth="1"/>
    <col min="5143" max="5143" width="10.7109375" style="7" customWidth="1"/>
    <col min="5144" max="5144" width="9.140625" style="7"/>
    <col min="5145" max="5145" width="11.42578125" style="7" customWidth="1"/>
    <col min="5146" max="5146" width="9.140625" style="7"/>
    <col min="5147" max="5147" width="13.140625" style="7" customWidth="1"/>
    <col min="5148" max="5148" width="11.28515625" style="7" bestFit="1" customWidth="1"/>
    <col min="5149" max="5149" width="13.28515625" style="7" customWidth="1"/>
    <col min="5150" max="5150" width="12.85546875" style="7" customWidth="1"/>
    <col min="5151" max="5373" width="9.140625" style="7"/>
    <col min="5374" max="5374" width="6" style="7" customWidth="1"/>
    <col min="5375" max="5375" width="6.7109375" style="7" customWidth="1"/>
    <col min="5376" max="5376" width="24.5703125" style="7" customWidth="1"/>
    <col min="5377" max="5377" width="5.42578125" style="7" customWidth="1"/>
    <col min="5378" max="5381" width="0" style="7" hidden="1" customWidth="1"/>
    <col min="5382" max="5383" width="4.5703125" style="7" customWidth="1"/>
    <col min="5384" max="5384" width="7.5703125" style="7" customWidth="1"/>
    <col min="5385" max="5385" width="7.7109375" style="7" customWidth="1"/>
    <col min="5386" max="5386" width="6.5703125" style="7" customWidth="1"/>
    <col min="5387" max="5387" width="10.140625" style="7" customWidth="1"/>
    <col min="5388" max="5388" width="7.5703125" style="7" customWidth="1"/>
    <col min="5389" max="5389" width="11.5703125" style="7" customWidth="1"/>
    <col min="5390" max="5390" width="7.5703125" style="7" customWidth="1"/>
    <col min="5391" max="5391" width="11.5703125" style="7" customWidth="1"/>
    <col min="5392" max="5392" width="7.5703125" style="7" customWidth="1"/>
    <col min="5393" max="5393" width="11.7109375" style="7" customWidth="1"/>
    <col min="5394" max="5394" width="9.140625" style="7"/>
    <col min="5395" max="5395" width="13.28515625" style="7" customWidth="1"/>
    <col min="5396" max="5396" width="6.85546875" style="7" customWidth="1"/>
    <col min="5397" max="5397" width="10.7109375" style="7" customWidth="1"/>
    <col min="5398" max="5398" width="6.85546875" style="7" customWidth="1"/>
    <col min="5399" max="5399" width="10.7109375" style="7" customWidth="1"/>
    <col min="5400" max="5400" width="9.140625" style="7"/>
    <col min="5401" max="5401" width="11.42578125" style="7" customWidth="1"/>
    <col min="5402" max="5402" width="9.140625" style="7"/>
    <col min="5403" max="5403" width="13.140625" style="7" customWidth="1"/>
    <col min="5404" max="5404" width="11.28515625" style="7" bestFit="1" customWidth="1"/>
    <col min="5405" max="5405" width="13.28515625" style="7" customWidth="1"/>
    <col min="5406" max="5406" width="12.85546875" style="7" customWidth="1"/>
    <col min="5407" max="5629" width="9.140625" style="7"/>
    <col min="5630" max="5630" width="6" style="7" customWidth="1"/>
    <col min="5631" max="5631" width="6.7109375" style="7" customWidth="1"/>
    <col min="5632" max="5632" width="24.5703125" style="7" customWidth="1"/>
    <col min="5633" max="5633" width="5.42578125" style="7" customWidth="1"/>
    <col min="5634" max="5637" width="0" style="7" hidden="1" customWidth="1"/>
    <col min="5638" max="5639" width="4.5703125" style="7" customWidth="1"/>
    <col min="5640" max="5640" width="7.5703125" style="7" customWidth="1"/>
    <col min="5641" max="5641" width="7.7109375" style="7" customWidth="1"/>
    <col min="5642" max="5642" width="6.5703125" style="7" customWidth="1"/>
    <col min="5643" max="5643" width="10.140625" style="7" customWidth="1"/>
    <col min="5644" max="5644" width="7.5703125" style="7" customWidth="1"/>
    <col min="5645" max="5645" width="11.5703125" style="7" customWidth="1"/>
    <col min="5646" max="5646" width="7.5703125" style="7" customWidth="1"/>
    <col min="5647" max="5647" width="11.5703125" style="7" customWidth="1"/>
    <col min="5648" max="5648" width="7.5703125" style="7" customWidth="1"/>
    <col min="5649" max="5649" width="11.7109375" style="7" customWidth="1"/>
    <col min="5650" max="5650" width="9.140625" style="7"/>
    <col min="5651" max="5651" width="13.28515625" style="7" customWidth="1"/>
    <col min="5652" max="5652" width="6.85546875" style="7" customWidth="1"/>
    <col min="5653" max="5653" width="10.7109375" style="7" customWidth="1"/>
    <col min="5654" max="5654" width="6.85546875" style="7" customWidth="1"/>
    <col min="5655" max="5655" width="10.7109375" style="7" customWidth="1"/>
    <col min="5656" max="5656" width="9.140625" style="7"/>
    <col min="5657" max="5657" width="11.42578125" style="7" customWidth="1"/>
    <col min="5658" max="5658" width="9.140625" style="7"/>
    <col min="5659" max="5659" width="13.140625" style="7" customWidth="1"/>
    <col min="5660" max="5660" width="11.28515625" style="7" bestFit="1" customWidth="1"/>
    <col min="5661" max="5661" width="13.28515625" style="7" customWidth="1"/>
    <col min="5662" max="5662" width="12.85546875" style="7" customWidth="1"/>
    <col min="5663" max="5885" width="9.140625" style="7"/>
    <col min="5886" max="5886" width="6" style="7" customWidth="1"/>
    <col min="5887" max="5887" width="6.7109375" style="7" customWidth="1"/>
    <col min="5888" max="5888" width="24.5703125" style="7" customWidth="1"/>
    <col min="5889" max="5889" width="5.42578125" style="7" customWidth="1"/>
    <col min="5890" max="5893" width="0" style="7" hidden="1" customWidth="1"/>
    <col min="5894" max="5895" width="4.5703125" style="7" customWidth="1"/>
    <col min="5896" max="5896" width="7.5703125" style="7" customWidth="1"/>
    <col min="5897" max="5897" width="7.7109375" style="7" customWidth="1"/>
    <col min="5898" max="5898" width="6.5703125" style="7" customWidth="1"/>
    <col min="5899" max="5899" width="10.140625" style="7" customWidth="1"/>
    <col min="5900" max="5900" width="7.5703125" style="7" customWidth="1"/>
    <col min="5901" max="5901" width="11.5703125" style="7" customWidth="1"/>
    <col min="5902" max="5902" width="7.5703125" style="7" customWidth="1"/>
    <col min="5903" max="5903" width="11.5703125" style="7" customWidth="1"/>
    <col min="5904" max="5904" width="7.5703125" style="7" customWidth="1"/>
    <col min="5905" max="5905" width="11.7109375" style="7" customWidth="1"/>
    <col min="5906" max="5906" width="9.140625" style="7"/>
    <col min="5907" max="5907" width="13.28515625" style="7" customWidth="1"/>
    <col min="5908" max="5908" width="6.85546875" style="7" customWidth="1"/>
    <col min="5909" max="5909" width="10.7109375" style="7" customWidth="1"/>
    <col min="5910" max="5910" width="6.85546875" style="7" customWidth="1"/>
    <col min="5911" max="5911" width="10.7109375" style="7" customWidth="1"/>
    <col min="5912" max="5912" width="9.140625" style="7"/>
    <col min="5913" max="5913" width="11.42578125" style="7" customWidth="1"/>
    <col min="5914" max="5914" width="9.140625" style="7"/>
    <col min="5915" max="5915" width="13.140625" style="7" customWidth="1"/>
    <col min="5916" max="5916" width="11.28515625" style="7" bestFit="1" customWidth="1"/>
    <col min="5917" max="5917" width="13.28515625" style="7" customWidth="1"/>
    <col min="5918" max="5918" width="12.85546875" style="7" customWidth="1"/>
    <col min="5919" max="6141" width="9.140625" style="7"/>
    <col min="6142" max="6142" width="6" style="7" customWidth="1"/>
    <col min="6143" max="6143" width="6.7109375" style="7" customWidth="1"/>
    <col min="6144" max="6144" width="24.5703125" style="7" customWidth="1"/>
    <col min="6145" max="6145" width="5.42578125" style="7" customWidth="1"/>
    <col min="6146" max="6149" width="0" style="7" hidden="1" customWidth="1"/>
    <col min="6150" max="6151" width="4.5703125" style="7" customWidth="1"/>
    <col min="6152" max="6152" width="7.5703125" style="7" customWidth="1"/>
    <col min="6153" max="6153" width="7.7109375" style="7" customWidth="1"/>
    <col min="6154" max="6154" width="6.5703125" style="7" customWidth="1"/>
    <col min="6155" max="6155" width="10.140625" style="7" customWidth="1"/>
    <col min="6156" max="6156" width="7.5703125" style="7" customWidth="1"/>
    <col min="6157" max="6157" width="11.5703125" style="7" customWidth="1"/>
    <col min="6158" max="6158" width="7.5703125" style="7" customWidth="1"/>
    <col min="6159" max="6159" width="11.5703125" style="7" customWidth="1"/>
    <col min="6160" max="6160" width="7.5703125" style="7" customWidth="1"/>
    <col min="6161" max="6161" width="11.7109375" style="7" customWidth="1"/>
    <col min="6162" max="6162" width="9.140625" style="7"/>
    <col min="6163" max="6163" width="13.28515625" style="7" customWidth="1"/>
    <col min="6164" max="6164" width="6.85546875" style="7" customWidth="1"/>
    <col min="6165" max="6165" width="10.7109375" style="7" customWidth="1"/>
    <col min="6166" max="6166" width="6.85546875" style="7" customWidth="1"/>
    <col min="6167" max="6167" width="10.7109375" style="7" customWidth="1"/>
    <col min="6168" max="6168" width="9.140625" style="7"/>
    <col min="6169" max="6169" width="11.42578125" style="7" customWidth="1"/>
    <col min="6170" max="6170" width="9.140625" style="7"/>
    <col min="6171" max="6171" width="13.140625" style="7" customWidth="1"/>
    <col min="6172" max="6172" width="11.28515625" style="7" bestFit="1" customWidth="1"/>
    <col min="6173" max="6173" width="13.28515625" style="7" customWidth="1"/>
    <col min="6174" max="6174" width="12.85546875" style="7" customWidth="1"/>
    <col min="6175" max="6397" width="9.140625" style="7"/>
    <col min="6398" max="6398" width="6" style="7" customWidth="1"/>
    <col min="6399" max="6399" width="6.7109375" style="7" customWidth="1"/>
    <col min="6400" max="6400" width="24.5703125" style="7" customWidth="1"/>
    <col min="6401" max="6401" width="5.42578125" style="7" customWidth="1"/>
    <col min="6402" max="6405" width="0" style="7" hidden="1" customWidth="1"/>
    <col min="6406" max="6407" width="4.5703125" style="7" customWidth="1"/>
    <col min="6408" max="6408" width="7.5703125" style="7" customWidth="1"/>
    <col min="6409" max="6409" width="7.7109375" style="7" customWidth="1"/>
    <col min="6410" max="6410" width="6.5703125" style="7" customWidth="1"/>
    <col min="6411" max="6411" width="10.140625" style="7" customWidth="1"/>
    <col min="6412" max="6412" width="7.5703125" style="7" customWidth="1"/>
    <col min="6413" max="6413" width="11.5703125" style="7" customWidth="1"/>
    <col min="6414" max="6414" width="7.5703125" style="7" customWidth="1"/>
    <col min="6415" max="6415" width="11.5703125" style="7" customWidth="1"/>
    <col min="6416" max="6416" width="7.5703125" style="7" customWidth="1"/>
    <col min="6417" max="6417" width="11.7109375" style="7" customWidth="1"/>
    <col min="6418" max="6418" width="9.140625" style="7"/>
    <col min="6419" max="6419" width="13.28515625" style="7" customWidth="1"/>
    <col min="6420" max="6420" width="6.85546875" style="7" customWidth="1"/>
    <col min="6421" max="6421" width="10.7109375" style="7" customWidth="1"/>
    <col min="6422" max="6422" width="6.85546875" style="7" customWidth="1"/>
    <col min="6423" max="6423" width="10.7109375" style="7" customWidth="1"/>
    <col min="6424" max="6424" width="9.140625" style="7"/>
    <col min="6425" max="6425" width="11.42578125" style="7" customWidth="1"/>
    <col min="6426" max="6426" width="9.140625" style="7"/>
    <col min="6427" max="6427" width="13.140625" style="7" customWidth="1"/>
    <col min="6428" max="6428" width="11.28515625" style="7" bestFit="1" customWidth="1"/>
    <col min="6429" max="6429" width="13.28515625" style="7" customWidth="1"/>
    <col min="6430" max="6430" width="12.85546875" style="7" customWidth="1"/>
    <col min="6431" max="6653" width="9.140625" style="7"/>
    <col min="6654" max="6654" width="6" style="7" customWidth="1"/>
    <col min="6655" max="6655" width="6.7109375" style="7" customWidth="1"/>
    <col min="6656" max="6656" width="24.5703125" style="7" customWidth="1"/>
    <col min="6657" max="6657" width="5.42578125" style="7" customWidth="1"/>
    <col min="6658" max="6661" width="0" style="7" hidden="1" customWidth="1"/>
    <col min="6662" max="6663" width="4.5703125" style="7" customWidth="1"/>
    <col min="6664" max="6664" width="7.5703125" style="7" customWidth="1"/>
    <col min="6665" max="6665" width="7.7109375" style="7" customWidth="1"/>
    <col min="6666" max="6666" width="6.5703125" style="7" customWidth="1"/>
    <col min="6667" max="6667" width="10.140625" style="7" customWidth="1"/>
    <col min="6668" max="6668" width="7.5703125" style="7" customWidth="1"/>
    <col min="6669" max="6669" width="11.5703125" style="7" customWidth="1"/>
    <col min="6670" max="6670" width="7.5703125" style="7" customWidth="1"/>
    <col min="6671" max="6671" width="11.5703125" style="7" customWidth="1"/>
    <col min="6672" max="6672" width="7.5703125" style="7" customWidth="1"/>
    <col min="6673" max="6673" width="11.7109375" style="7" customWidth="1"/>
    <col min="6674" max="6674" width="9.140625" style="7"/>
    <col min="6675" max="6675" width="13.28515625" style="7" customWidth="1"/>
    <col min="6676" max="6676" width="6.85546875" style="7" customWidth="1"/>
    <col min="6677" max="6677" width="10.7109375" style="7" customWidth="1"/>
    <col min="6678" max="6678" width="6.85546875" style="7" customWidth="1"/>
    <col min="6679" max="6679" width="10.7109375" style="7" customWidth="1"/>
    <col min="6680" max="6680" width="9.140625" style="7"/>
    <col min="6681" max="6681" width="11.42578125" style="7" customWidth="1"/>
    <col min="6682" max="6682" width="9.140625" style="7"/>
    <col min="6683" max="6683" width="13.140625" style="7" customWidth="1"/>
    <col min="6684" max="6684" width="11.28515625" style="7" bestFit="1" customWidth="1"/>
    <col min="6685" max="6685" width="13.28515625" style="7" customWidth="1"/>
    <col min="6686" max="6686" width="12.85546875" style="7" customWidth="1"/>
    <col min="6687" max="6909" width="9.140625" style="7"/>
    <col min="6910" max="6910" width="6" style="7" customWidth="1"/>
    <col min="6911" max="6911" width="6.7109375" style="7" customWidth="1"/>
    <col min="6912" max="6912" width="24.5703125" style="7" customWidth="1"/>
    <col min="6913" max="6913" width="5.42578125" style="7" customWidth="1"/>
    <col min="6914" max="6917" width="0" style="7" hidden="1" customWidth="1"/>
    <col min="6918" max="6919" width="4.5703125" style="7" customWidth="1"/>
    <col min="6920" max="6920" width="7.5703125" style="7" customWidth="1"/>
    <col min="6921" max="6921" width="7.7109375" style="7" customWidth="1"/>
    <col min="6922" max="6922" width="6.5703125" style="7" customWidth="1"/>
    <col min="6923" max="6923" width="10.140625" style="7" customWidth="1"/>
    <col min="6924" max="6924" width="7.5703125" style="7" customWidth="1"/>
    <col min="6925" max="6925" width="11.5703125" style="7" customWidth="1"/>
    <col min="6926" max="6926" width="7.5703125" style="7" customWidth="1"/>
    <col min="6927" max="6927" width="11.5703125" style="7" customWidth="1"/>
    <col min="6928" max="6928" width="7.5703125" style="7" customWidth="1"/>
    <col min="6929" max="6929" width="11.7109375" style="7" customWidth="1"/>
    <col min="6930" max="6930" width="9.140625" style="7"/>
    <col min="6931" max="6931" width="13.28515625" style="7" customWidth="1"/>
    <col min="6932" max="6932" width="6.85546875" style="7" customWidth="1"/>
    <col min="6933" max="6933" width="10.7109375" style="7" customWidth="1"/>
    <col min="6934" max="6934" width="6.85546875" style="7" customWidth="1"/>
    <col min="6935" max="6935" width="10.7109375" style="7" customWidth="1"/>
    <col min="6936" max="6936" width="9.140625" style="7"/>
    <col min="6937" max="6937" width="11.42578125" style="7" customWidth="1"/>
    <col min="6938" max="6938" width="9.140625" style="7"/>
    <col min="6939" max="6939" width="13.140625" style="7" customWidth="1"/>
    <col min="6940" max="6940" width="11.28515625" style="7" bestFit="1" customWidth="1"/>
    <col min="6941" max="6941" width="13.28515625" style="7" customWidth="1"/>
    <col min="6942" max="6942" width="12.85546875" style="7" customWidth="1"/>
    <col min="6943" max="7165" width="9.140625" style="7"/>
    <col min="7166" max="7166" width="6" style="7" customWidth="1"/>
    <col min="7167" max="7167" width="6.7109375" style="7" customWidth="1"/>
    <col min="7168" max="7168" width="24.5703125" style="7" customWidth="1"/>
    <col min="7169" max="7169" width="5.42578125" style="7" customWidth="1"/>
    <col min="7170" max="7173" width="0" style="7" hidden="1" customWidth="1"/>
    <col min="7174" max="7175" width="4.5703125" style="7" customWidth="1"/>
    <col min="7176" max="7176" width="7.5703125" style="7" customWidth="1"/>
    <col min="7177" max="7177" width="7.7109375" style="7" customWidth="1"/>
    <col min="7178" max="7178" width="6.5703125" style="7" customWidth="1"/>
    <col min="7179" max="7179" width="10.140625" style="7" customWidth="1"/>
    <col min="7180" max="7180" width="7.5703125" style="7" customWidth="1"/>
    <col min="7181" max="7181" width="11.5703125" style="7" customWidth="1"/>
    <col min="7182" max="7182" width="7.5703125" style="7" customWidth="1"/>
    <col min="7183" max="7183" width="11.5703125" style="7" customWidth="1"/>
    <col min="7184" max="7184" width="7.5703125" style="7" customWidth="1"/>
    <col min="7185" max="7185" width="11.7109375" style="7" customWidth="1"/>
    <col min="7186" max="7186" width="9.140625" style="7"/>
    <col min="7187" max="7187" width="13.28515625" style="7" customWidth="1"/>
    <col min="7188" max="7188" width="6.85546875" style="7" customWidth="1"/>
    <col min="7189" max="7189" width="10.7109375" style="7" customWidth="1"/>
    <col min="7190" max="7190" width="6.85546875" style="7" customWidth="1"/>
    <col min="7191" max="7191" width="10.7109375" style="7" customWidth="1"/>
    <col min="7192" max="7192" width="9.140625" style="7"/>
    <col min="7193" max="7193" width="11.42578125" style="7" customWidth="1"/>
    <col min="7194" max="7194" width="9.140625" style="7"/>
    <col min="7195" max="7195" width="13.140625" style="7" customWidth="1"/>
    <col min="7196" max="7196" width="11.28515625" style="7" bestFit="1" customWidth="1"/>
    <col min="7197" max="7197" width="13.28515625" style="7" customWidth="1"/>
    <col min="7198" max="7198" width="12.85546875" style="7" customWidth="1"/>
    <col min="7199" max="7421" width="9.140625" style="7"/>
    <col min="7422" max="7422" width="6" style="7" customWidth="1"/>
    <col min="7423" max="7423" width="6.7109375" style="7" customWidth="1"/>
    <col min="7424" max="7424" width="24.5703125" style="7" customWidth="1"/>
    <col min="7425" max="7425" width="5.42578125" style="7" customWidth="1"/>
    <col min="7426" max="7429" width="0" style="7" hidden="1" customWidth="1"/>
    <col min="7430" max="7431" width="4.5703125" style="7" customWidth="1"/>
    <col min="7432" max="7432" width="7.5703125" style="7" customWidth="1"/>
    <col min="7433" max="7433" width="7.7109375" style="7" customWidth="1"/>
    <col min="7434" max="7434" width="6.5703125" style="7" customWidth="1"/>
    <col min="7435" max="7435" width="10.140625" style="7" customWidth="1"/>
    <col min="7436" max="7436" width="7.5703125" style="7" customWidth="1"/>
    <col min="7437" max="7437" width="11.5703125" style="7" customWidth="1"/>
    <col min="7438" max="7438" width="7.5703125" style="7" customWidth="1"/>
    <col min="7439" max="7439" width="11.5703125" style="7" customWidth="1"/>
    <col min="7440" max="7440" width="7.5703125" style="7" customWidth="1"/>
    <col min="7441" max="7441" width="11.7109375" style="7" customWidth="1"/>
    <col min="7442" max="7442" width="9.140625" style="7"/>
    <col min="7443" max="7443" width="13.28515625" style="7" customWidth="1"/>
    <col min="7444" max="7444" width="6.85546875" style="7" customWidth="1"/>
    <col min="7445" max="7445" width="10.7109375" style="7" customWidth="1"/>
    <col min="7446" max="7446" width="6.85546875" style="7" customWidth="1"/>
    <col min="7447" max="7447" width="10.7109375" style="7" customWidth="1"/>
    <col min="7448" max="7448" width="9.140625" style="7"/>
    <col min="7449" max="7449" width="11.42578125" style="7" customWidth="1"/>
    <col min="7450" max="7450" width="9.140625" style="7"/>
    <col min="7451" max="7451" width="13.140625" style="7" customWidth="1"/>
    <col min="7452" max="7452" width="11.28515625" style="7" bestFit="1" customWidth="1"/>
    <col min="7453" max="7453" width="13.28515625" style="7" customWidth="1"/>
    <col min="7454" max="7454" width="12.85546875" style="7" customWidth="1"/>
    <col min="7455" max="7677" width="9.140625" style="7"/>
    <col min="7678" max="7678" width="6" style="7" customWidth="1"/>
    <col min="7679" max="7679" width="6.7109375" style="7" customWidth="1"/>
    <col min="7680" max="7680" width="24.5703125" style="7" customWidth="1"/>
    <col min="7681" max="7681" width="5.42578125" style="7" customWidth="1"/>
    <col min="7682" max="7685" width="0" style="7" hidden="1" customWidth="1"/>
    <col min="7686" max="7687" width="4.5703125" style="7" customWidth="1"/>
    <col min="7688" max="7688" width="7.5703125" style="7" customWidth="1"/>
    <col min="7689" max="7689" width="7.7109375" style="7" customWidth="1"/>
    <col min="7690" max="7690" width="6.5703125" style="7" customWidth="1"/>
    <col min="7691" max="7691" width="10.140625" style="7" customWidth="1"/>
    <col min="7692" max="7692" width="7.5703125" style="7" customWidth="1"/>
    <col min="7693" max="7693" width="11.5703125" style="7" customWidth="1"/>
    <col min="7694" max="7694" width="7.5703125" style="7" customWidth="1"/>
    <col min="7695" max="7695" width="11.5703125" style="7" customWidth="1"/>
    <col min="7696" max="7696" width="7.5703125" style="7" customWidth="1"/>
    <col min="7697" max="7697" width="11.7109375" style="7" customWidth="1"/>
    <col min="7698" max="7698" width="9.140625" style="7"/>
    <col min="7699" max="7699" width="13.28515625" style="7" customWidth="1"/>
    <col min="7700" max="7700" width="6.85546875" style="7" customWidth="1"/>
    <col min="7701" max="7701" width="10.7109375" style="7" customWidth="1"/>
    <col min="7702" max="7702" width="6.85546875" style="7" customWidth="1"/>
    <col min="7703" max="7703" width="10.7109375" style="7" customWidth="1"/>
    <col min="7704" max="7704" width="9.140625" style="7"/>
    <col min="7705" max="7705" width="11.42578125" style="7" customWidth="1"/>
    <col min="7706" max="7706" width="9.140625" style="7"/>
    <col min="7707" max="7707" width="13.140625" style="7" customWidth="1"/>
    <col min="7708" max="7708" width="11.28515625" style="7" bestFit="1" customWidth="1"/>
    <col min="7709" max="7709" width="13.28515625" style="7" customWidth="1"/>
    <col min="7710" max="7710" width="12.85546875" style="7" customWidth="1"/>
    <col min="7711" max="7933" width="9.140625" style="7"/>
    <col min="7934" max="7934" width="6" style="7" customWidth="1"/>
    <col min="7935" max="7935" width="6.7109375" style="7" customWidth="1"/>
    <col min="7936" max="7936" width="24.5703125" style="7" customWidth="1"/>
    <col min="7937" max="7937" width="5.42578125" style="7" customWidth="1"/>
    <col min="7938" max="7941" width="0" style="7" hidden="1" customWidth="1"/>
    <col min="7942" max="7943" width="4.5703125" style="7" customWidth="1"/>
    <col min="7944" max="7944" width="7.5703125" style="7" customWidth="1"/>
    <col min="7945" max="7945" width="7.7109375" style="7" customWidth="1"/>
    <col min="7946" max="7946" width="6.5703125" style="7" customWidth="1"/>
    <col min="7947" max="7947" width="10.140625" style="7" customWidth="1"/>
    <col min="7948" max="7948" width="7.5703125" style="7" customWidth="1"/>
    <col min="7949" max="7949" width="11.5703125" style="7" customWidth="1"/>
    <col min="7950" max="7950" width="7.5703125" style="7" customWidth="1"/>
    <col min="7951" max="7951" width="11.5703125" style="7" customWidth="1"/>
    <col min="7952" max="7952" width="7.5703125" style="7" customWidth="1"/>
    <col min="7953" max="7953" width="11.7109375" style="7" customWidth="1"/>
    <col min="7954" max="7954" width="9.140625" style="7"/>
    <col min="7955" max="7955" width="13.28515625" style="7" customWidth="1"/>
    <col min="7956" max="7956" width="6.85546875" style="7" customWidth="1"/>
    <col min="7957" max="7957" width="10.7109375" style="7" customWidth="1"/>
    <col min="7958" max="7958" width="6.85546875" style="7" customWidth="1"/>
    <col min="7959" max="7959" width="10.7109375" style="7" customWidth="1"/>
    <col min="7960" max="7960" width="9.140625" style="7"/>
    <col min="7961" max="7961" width="11.42578125" style="7" customWidth="1"/>
    <col min="7962" max="7962" width="9.140625" style="7"/>
    <col min="7963" max="7963" width="13.140625" style="7" customWidth="1"/>
    <col min="7964" max="7964" width="11.28515625" style="7" bestFit="1" customWidth="1"/>
    <col min="7965" max="7965" width="13.28515625" style="7" customWidth="1"/>
    <col min="7966" max="7966" width="12.85546875" style="7" customWidth="1"/>
    <col min="7967" max="8189" width="9.140625" style="7"/>
    <col min="8190" max="8190" width="6" style="7" customWidth="1"/>
    <col min="8191" max="8191" width="6.7109375" style="7" customWidth="1"/>
    <col min="8192" max="8192" width="24.5703125" style="7" customWidth="1"/>
    <col min="8193" max="8193" width="5.42578125" style="7" customWidth="1"/>
    <col min="8194" max="8197" width="0" style="7" hidden="1" customWidth="1"/>
    <col min="8198" max="8199" width="4.5703125" style="7" customWidth="1"/>
    <col min="8200" max="8200" width="7.5703125" style="7" customWidth="1"/>
    <col min="8201" max="8201" width="7.7109375" style="7" customWidth="1"/>
    <col min="8202" max="8202" width="6.5703125" style="7" customWidth="1"/>
    <col min="8203" max="8203" width="10.140625" style="7" customWidth="1"/>
    <col min="8204" max="8204" width="7.5703125" style="7" customWidth="1"/>
    <col min="8205" max="8205" width="11.5703125" style="7" customWidth="1"/>
    <col min="8206" max="8206" width="7.5703125" style="7" customWidth="1"/>
    <col min="8207" max="8207" width="11.5703125" style="7" customWidth="1"/>
    <col min="8208" max="8208" width="7.5703125" style="7" customWidth="1"/>
    <col min="8209" max="8209" width="11.7109375" style="7" customWidth="1"/>
    <col min="8210" max="8210" width="9.140625" style="7"/>
    <col min="8211" max="8211" width="13.28515625" style="7" customWidth="1"/>
    <col min="8212" max="8212" width="6.85546875" style="7" customWidth="1"/>
    <col min="8213" max="8213" width="10.7109375" style="7" customWidth="1"/>
    <col min="8214" max="8214" width="6.85546875" style="7" customWidth="1"/>
    <col min="8215" max="8215" width="10.7109375" style="7" customWidth="1"/>
    <col min="8216" max="8216" width="9.140625" style="7"/>
    <col min="8217" max="8217" width="11.42578125" style="7" customWidth="1"/>
    <col min="8218" max="8218" width="9.140625" style="7"/>
    <col min="8219" max="8219" width="13.140625" style="7" customWidth="1"/>
    <col min="8220" max="8220" width="11.28515625" style="7" bestFit="1" customWidth="1"/>
    <col min="8221" max="8221" width="13.28515625" style="7" customWidth="1"/>
    <col min="8222" max="8222" width="12.85546875" style="7" customWidth="1"/>
    <col min="8223" max="8445" width="9.140625" style="7"/>
    <col min="8446" max="8446" width="6" style="7" customWidth="1"/>
    <col min="8447" max="8447" width="6.7109375" style="7" customWidth="1"/>
    <col min="8448" max="8448" width="24.5703125" style="7" customWidth="1"/>
    <col min="8449" max="8449" width="5.42578125" style="7" customWidth="1"/>
    <col min="8450" max="8453" width="0" style="7" hidden="1" customWidth="1"/>
    <col min="8454" max="8455" width="4.5703125" style="7" customWidth="1"/>
    <col min="8456" max="8456" width="7.5703125" style="7" customWidth="1"/>
    <col min="8457" max="8457" width="7.7109375" style="7" customWidth="1"/>
    <col min="8458" max="8458" width="6.5703125" style="7" customWidth="1"/>
    <col min="8459" max="8459" width="10.140625" style="7" customWidth="1"/>
    <col min="8460" max="8460" width="7.5703125" style="7" customWidth="1"/>
    <col min="8461" max="8461" width="11.5703125" style="7" customWidth="1"/>
    <col min="8462" max="8462" width="7.5703125" style="7" customWidth="1"/>
    <col min="8463" max="8463" width="11.5703125" style="7" customWidth="1"/>
    <col min="8464" max="8464" width="7.5703125" style="7" customWidth="1"/>
    <col min="8465" max="8465" width="11.7109375" style="7" customWidth="1"/>
    <col min="8466" max="8466" width="9.140625" style="7"/>
    <col min="8467" max="8467" width="13.28515625" style="7" customWidth="1"/>
    <col min="8468" max="8468" width="6.85546875" style="7" customWidth="1"/>
    <col min="8469" max="8469" width="10.7109375" style="7" customWidth="1"/>
    <col min="8470" max="8470" width="6.85546875" style="7" customWidth="1"/>
    <col min="8471" max="8471" width="10.7109375" style="7" customWidth="1"/>
    <col min="8472" max="8472" width="9.140625" style="7"/>
    <col min="8473" max="8473" width="11.42578125" style="7" customWidth="1"/>
    <col min="8474" max="8474" width="9.140625" style="7"/>
    <col min="8475" max="8475" width="13.140625" style="7" customWidth="1"/>
    <col min="8476" max="8476" width="11.28515625" style="7" bestFit="1" customWidth="1"/>
    <col min="8477" max="8477" width="13.28515625" style="7" customWidth="1"/>
    <col min="8478" max="8478" width="12.85546875" style="7" customWidth="1"/>
    <col min="8479" max="8701" width="9.140625" style="7"/>
    <col min="8702" max="8702" width="6" style="7" customWidth="1"/>
    <col min="8703" max="8703" width="6.7109375" style="7" customWidth="1"/>
    <col min="8704" max="8704" width="24.5703125" style="7" customWidth="1"/>
    <col min="8705" max="8705" width="5.42578125" style="7" customWidth="1"/>
    <col min="8706" max="8709" width="0" style="7" hidden="1" customWidth="1"/>
    <col min="8710" max="8711" width="4.5703125" style="7" customWidth="1"/>
    <col min="8712" max="8712" width="7.5703125" style="7" customWidth="1"/>
    <col min="8713" max="8713" width="7.7109375" style="7" customWidth="1"/>
    <col min="8714" max="8714" width="6.5703125" style="7" customWidth="1"/>
    <col min="8715" max="8715" width="10.140625" style="7" customWidth="1"/>
    <col min="8716" max="8716" width="7.5703125" style="7" customWidth="1"/>
    <col min="8717" max="8717" width="11.5703125" style="7" customWidth="1"/>
    <col min="8718" max="8718" width="7.5703125" style="7" customWidth="1"/>
    <col min="8719" max="8719" width="11.5703125" style="7" customWidth="1"/>
    <col min="8720" max="8720" width="7.5703125" style="7" customWidth="1"/>
    <col min="8721" max="8721" width="11.7109375" style="7" customWidth="1"/>
    <col min="8722" max="8722" width="9.140625" style="7"/>
    <col min="8723" max="8723" width="13.28515625" style="7" customWidth="1"/>
    <col min="8724" max="8724" width="6.85546875" style="7" customWidth="1"/>
    <col min="8725" max="8725" width="10.7109375" style="7" customWidth="1"/>
    <col min="8726" max="8726" width="6.85546875" style="7" customWidth="1"/>
    <col min="8727" max="8727" width="10.7109375" style="7" customWidth="1"/>
    <col min="8728" max="8728" width="9.140625" style="7"/>
    <col min="8729" max="8729" width="11.42578125" style="7" customWidth="1"/>
    <col min="8730" max="8730" width="9.140625" style="7"/>
    <col min="8731" max="8731" width="13.140625" style="7" customWidth="1"/>
    <col min="8732" max="8732" width="11.28515625" style="7" bestFit="1" customWidth="1"/>
    <col min="8733" max="8733" width="13.28515625" style="7" customWidth="1"/>
    <col min="8734" max="8734" width="12.85546875" style="7" customWidth="1"/>
    <col min="8735" max="8957" width="9.140625" style="7"/>
    <col min="8958" max="8958" width="6" style="7" customWidth="1"/>
    <col min="8959" max="8959" width="6.7109375" style="7" customWidth="1"/>
    <col min="8960" max="8960" width="24.5703125" style="7" customWidth="1"/>
    <col min="8961" max="8961" width="5.42578125" style="7" customWidth="1"/>
    <col min="8962" max="8965" width="0" style="7" hidden="1" customWidth="1"/>
    <col min="8966" max="8967" width="4.5703125" style="7" customWidth="1"/>
    <col min="8968" max="8968" width="7.5703125" style="7" customWidth="1"/>
    <col min="8969" max="8969" width="7.7109375" style="7" customWidth="1"/>
    <col min="8970" max="8970" width="6.5703125" style="7" customWidth="1"/>
    <col min="8971" max="8971" width="10.140625" style="7" customWidth="1"/>
    <col min="8972" max="8972" width="7.5703125" style="7" customWidth="1"/>
    <col min="8973" max="8973" width="11.5703125" style="7" customWidth="1"/>
    <col min="8974" max="8974" width="7.5703125" style="7" customWidth="1"/>
    <col min="8975" max="8975" width="11.5703125" style="7" customWidth="1"/>
    <col min="8976" max="8976" width="7.5703125" style="7" customWidth="1"/>
    <col min="8977" max="8977" width="11.7109375" style="7" customWidth="1"/>
    <col min="8978" max="8978" width="9.140625" style="7"/>
    <col min="8979" max="8979" width="13.28515625" style="7" customWidth="1"/>
    <col min="8980" max="8980" width="6.85546875" style="7" customWidth="1"/>
    <col min="8981" max="8981" width="10.7109375" style="7" customWidth="1"/>
    <col min="8982" max="8982" width="6.85546875" style="7" customWidth="1"/>
    <col min="8983" max="8983" width="10.7109375" style="7" customWidth="1"/>
    <col min="8984" max="8984" width="9.140625" style="7"/>
    <col min="8985" max="8985" width="11.42578125" style="7" customWidth="1"/>
    <col min="8986" max="8986" width="9.140625" style="7"/>
    <col min="8987" max="8987" width="13.140625" style="7" customWidth="1"/>
    <col min="8988" max="8988" width="11.28515625" style="7" bestFit="1" customWidth="1"/>
    <col min="8989" max="8989" width="13.28515625" style="7" customWidth="1"/>
    <col min="8990" max="8990" width="12.85546875" style="7" customWidth="1"/>
    <col min="8991" max="9213" width="9.140625" style="7"/>
    <col min="9214" max="9214" width="6" style="7" customWidth="1"/>
    <col min="9215" max="9215" width="6.7109375" style="7" customWidth="1"/>
    <col min="9216" max="9216" width="24.5703125" style="7" customWidth="1"/>
    <col min="9217" max="9217" width="5.42578125" style="7" customWidth="1"/>
    <col min="9218" max="9221" width="0" style="7" hidden="1" customWidth="1"/>
    <col min="9222" max="9223" width="4.5703125" style="7" customWidth="1"/>
    <col min="9224" max="9224" width="7.5703125" style="7" customWidth="1"/>
    <col min="9225" max="9225" width="7.7109375" style="7" customWidth="1"/>
    <col min="9226" max="9226" width="6.5703125" style="7" customWidth="1"/>
    <col min="9227" max="9227" width="10.140625" style="7" customWidth="1"/>
    <col min="9228" max="9228" width="7.5703125" style="7" customWidth="1"/>
    <col min="9229" max="9229" width="11.5703125" style="7" customWidth="1"/>
    <col min="9230" max="9230" width="7.5703125" style="7" customWidth="1"/>
    <col min="9231" max="9231" width="11.5703125" style="7" customWidth="1"/>
    <col min="9232" max="9232" width="7.5703125" style="7" customWidth="1"/>
    <col min="9233" max="9233" width="11.7109375" style="7" customWidth="1"/>
    <col min="9234" max="9234" width="9.140625" style="7"/>
    <col min="9235" max="9235" width="13.28515625" style="7" customWidth="1"/>
    <col min="9236" max="9236" width="6.85546875" style="7" customWidth="1"/>
    <col min="9237" max="9237" width="10.7109375" style="7" customWidth="1"/>
    <col min="9238" max="9238" width="6.85546875" style="7" customWidth="1"/>
    <col min="9239" max="9239" width="10.7109375" style="7" customWidth="1"/>
    <col min="9240" max="9240" width="9.140625" style="7"/>
    <col min="9241" max="9241" width="11.42578125" style="7" customWidth="1"/>
    <col min="9242" max="9242" width="9.140625" style="7"/>
    <col min="9243" max="9243" width="13.140625" style="7" customWidth="1"/>
    <col min="9244" max="9244" width="11.28515625" style="7" bestFit="1" customWidth="1"/>
    <col min="9245" max="9245" width="13.28515625" style="7" customWidth="1"/>
    <col min="9246" max="9246" width="12.85546875" style="7" customWidth="1"/>
    <col min="9247" max="9469" width="9.140625" style="7"/>
    <col min="9470" max="9470" width="6" style="7" customWidth="1"/>
    <col min="9471" max="9471" width="6.7109375" style="7" customWidth="1"/>
    <col min="9472" max="9472" width="24.5703125" style="7" customWidth="1"/>
    <col min="9473" max="9473" width="5.42578125" style="7" customWidth="1"/>
    <col min="9474" max="9477" width="0" style="7" hidden="1" customWidth="1"/>
    <col min="9478" max="9479" width="4.5703125" style="7" customWidth="1"/>
    <col min="9480" max="9480" width="7.5703125" style="7" customWidth="1"/>
    <col min="9481" max="9481" width="7.7109375" style="7" customWidth="1"/>
    <col min="9482" max="9482" width="6.5703125" style="7" customWidth="1"/>
    <col min="9483" max="9483" width="10.140625" style="7" customWidth="1"/>
    <col min="9484" max="9484" width="7.5703125" style="7" customWidth="1"/>
    <col min="9485" max="9485" width="11.5703125" style="7" customWidth="1"/>
    <col min="9486" max="9486" width="7.5703125" style="7" customWidth="1"/>
    <col min="9487" max="9487" width="11.5703125" style="7" customWidth="1"/>
    <col min="9488" max="9488" width="7.5703125" style="7" customWidth="1"/>
    <col min="9489" max="9489" width="11.7109375" style="7" customWidth="1"/>
    <col min="9490" max="9490" width="9.140625" style="7"/>
    <col min="9491" max="9491" width="13.28515625" style="7" customWidth="1"/>
    <col min="9492" max="9492" width="6.85546875" style="7" customWidth="1"/>
    <col min="9493" max="9493" width="10.7109375" style="7" customWidth="1"/>
    <col min="9494" max="9494" width="6.85546875" style="7" customWidth="1"/>
    <col min="9495" max="9495" width="10.7109375" style="7" customWidth="1"/>
    <col min="9496" max="9496" width="9.140625" style="7"/>
    <col min="9497" max="9497" width="11.42578125" style="7" customWidth="1"/>
    <col min="9498" max="9498" width="9.140625" style="7"/>
    <col min="9499" max="9499" width="13.140625" style="7" customWidth="1"/>
    <col min="9500" max="9500" width="11.28515625" style="7" bestFit="1" customWidth="1"/>
    <col min="9501" max="9501" width="13.28515625" style="7" customWidth="1"/>
    <col min="9502" max="9502" width="12.85546875" style="7" customWidth="1"/>
    <col min="9503" max="9725" width="9.140625" style="7"/>
    <col min="9726" max="9726" width="6" style="7" customWidth="1"/>
    <col min="9727" max="9727" width="6.7109375" style="7" customWidth="1"/>
    <col min="9728" max="9728" width="24.5703125" style="7" customWidth="1"/>
    <col min="9729" max="9729" width="5.42578125" style="7" customWidth="1"/>
    <col min="9730" max="9733" width="0" style="7" hidden="1" customWidth="1"/>
    <col min="9734" max="9735" width="4.5703125" style="7" customWidth="1"/>
    <col min="9736" max="9736" width="7.5703125" style="7" customWidth="1"/>
    <col min="9737" max="9737" width="7.7109375" style="7" customWidth="1"/>
    <col min="9738" max="9738" width="6.5703125" style="7" customWidth="1"/>
    <col min="9739" max="9739" width="10.140625" style="7" customWidth="1"/>
    <col min="9740" max="9740" width="7.5703125" style="7" customWidth="1"/>
    <col min="9741" max="9741" width="11.5703125" style="7" customWidth="1"/>
    <col min="9742" max="9742" width="7.5703125" style="7" customWidth="1"/>
    <col min="9743" max="9743" width="11.5703125" style="7" customWidth="1"/>
    <col min="9744" max="9744" width="7.5703125" style="7" customWidth="1"/>
    <col min="9745" max="9745" width="11.7109375" style="7" customWidth="1"/>
    <col min="9746" max="9746" width="9.140625" style="7"/>
    <col min="9747" max="9747" width="13.28515625" style="7" customWidth="1"/>
    <col min="9748" max="9748" width="6.85546875" style="7" customWidth="1"/>
    <col min="9749" max="9749" width="10.7109375" style="7" customWidth="1"/>
    <col min="9750" max="9750" width="6.85546875" style="7" customWidth="1"/>
    <col min="9751" max="9751" width="10.7109375" style="7" customWidth="1"/>
    <col min="9752" max="9752" width="9.140625" style="7"/>
    <col min="9753" max="9753" width="11.42578125" style="7" customWidth="1"/>
    <col min="9754" max="9754" width="9.140625" style="7"/>
    <col min="9755" max="9755" width="13.140625" style="7" customWidth="1"/>
    <col min="9756" max="9756" width="11.28515625" style="7" bestFit="1" customWidth="1"/>
    <col min="9757" max="9757" width="13.28515625" style="7" customWidth="1"/>
    <col min="9758" max="9758" width="12.85546875" style="7" customWidth="1"/>
    <col min="9759" max="9981" width="9.140625" style="7"/>
    <col min="9982" max="9982" width="6" style="7" customWidth="1"/>
    <col min="9983" max="9983" width="6.7109375" style="7" customWidth="1"/>
    <col min="9984" max="9984" width="24.5703125" style="7" customWidth="1"/>
    <col min="9985" max="9985" width="5.42578125" style="7" customWidth="1"/>
    <col min="9986" max="9989" width="0" style="7" hidden="1" customWidth="1"/>
    <col min="9990" max="9991" width="4.5703125" style="7" customWidth="1"/>
    <col min="9992" max="9992" width="7.5703125" style="7" customWidth="1"/>
    <col min="9993" max="9993" width="7.7109375" style="7" customWidth="1"/>
    <col min="9994" max="9994" width="6.5703125" style="7" customWidth="1"/>
    <col min="9995" max="9995" width="10.140625" style="7" customWidth="1"/>
    <col min="9996" max="9996" width="7.5703125" style="7" customWidth="1"/>
    <col min="9997" max="9997" width="11.5703125" style="7" customWidth="1"/>
    <col min="9998" max="9998" width="7.5703125" style="7" customWidth="1"/>
    <col min="9999" max="9999" width="11.5703125" style="7" customWidth="1"/>
    <col min="10000" max="10000" width="7.5703125" style="7" customWidth="1"/>
    <col min="10001" max="10001" width="11.7109375" style="7" customWidth="1"/>
    <col min="10002" max="10002" width="9.140625" style="7"/>
    <col min="10003" max="10003" width="13.28515625" style="7" customWidth="1"/>
    <col min="10004" max="10004" width="6.85546875" style="7" customWidth="1"/>
    <col min="10005" max="10005" width="10.7109375" style="7" customWidth="1"/>
    <col min="10006" max="10006" width="6.85546875" style="7" customWidth="1"/>
    <col min="10007" max="10007" width="10.7109375" style="7" customWidth="1"/>
    <col min="10008" max="10008" width="9.140625" style="7"/>
    <col min="10009" max="10009" width="11.42578125" style="7" customWidth="1"/>
    <col min="10010" max="10010" width="9.140625" style="7"/>
    <col min="10011" max="10011" width="13.140625" style="7" customWidth="1"/>
    <col min="10012" max="10012" width="11.28515625" style="7" bestFit="1" customWidth="1"/>
    <col min="10013" max="10013" width="13.28515625" style="7" customWidth="1"/>
    <col min="10014" max="10014" width="12.85546875" style="7" customWidth="1"/>
    <col min="10015" max="10237" width="9.140625" style="7"/>
    <col min="10238" max="10238" width="6" style="7" customWidth="1"/>
    <col min="10239" max="10239" width="6.7109375" style="7" customWidth="1"/>
    <col min="10240" max="10240" width="24.5703125" style="7" customWidth="1"/>
    <col min="10241" max="10241" width="5.42578125" style="7" customWidth="1"/>
    <col min="10242" max="10245" width="0" style="7" hidden="1" customWidth="1"/>
    <col min="10246" max="10247" width="4.5703125" style="7" customWidth="1"/>
    <col min="10248" max="10248" width="7.5703125" style="7" customWidth="1"/>
    <col min="10249" max="10249" width="7.7109375" style="7" customWidth="1"/>
    <col min="10250" max="10250" width="6.5703125" style="7" customWidth="1"/>
    <col min="10251" max="10251" width="10.140625" style="7" customWidth="1"/>
    <col min="10252" max="10252" width="7.5703125" style="7" customWidth="1"/>
    <col min="10253" max="10253" width="11.5703125" style="7" customWidth="1"/>
    <col min="10254" max="10254" width="7.5703125" style="7" customWidth="1"/>
    <col min="10255" max="10255" width="11.5703125" style="7" customWidth="1"/>
    <col min="10256" max="10256" width="7.5703125" style="7" customWidth="1"/>
    <col min="10257" max="10257" width="11.7109375" style="7" customWidth="1"/>
    <col min="10258" max="10258" width="9.140625" style="7"/>
    <col min="10259" max="10259" width="13.28515625" style="7" customWidth="1"/>
    <col min="10260" max="10260" width="6.85546875" style="7" customWidth="1"/>
    <col min="10261" max="10261" width="10.7109375" style="7" customWidth="1"/>
    <col min="10262" max="10262" width="6.85546875" style="7" customWidth="1"/>
    <col min="10263" max="10263" width="10.7109375" style="7" customWidth="1"/>
    <col min="10264" max="10264" width="9.140625" style="7"/>
    <col min="10265" max="10265" width="11.42578125" style="7" customWidth="1"/>
    <col min="10266" max="10266" width="9.140625" style="7"/>
    <col min="10267" max="10267" width="13.140625" style="7" customWidth="1"/>
    <col min="10268" max="10268" width="11.28515625" style="7" bestFit="1" customWidth="1"/>
    <col min="10269" max="10269" width="13.28515625" style="7" customWidth="1"/>
    <col min="10270" max="10270" width="12.85546875" style="7" customWidth="1"/>
    <col min="10271" max="10493" width="9.140625" style="7"/>
    <col min="10494" max="10494" width="6" style="7" customWidth="1"/>
    <col min="10495" max="10495" width="6.7109375" style="7" customWidth="1"/>
    <col min="10496" max="10496" width="24.5703125" style="7" customWidth="1"/>
    <col min="10497" max="10497" width="5.42578125" style="7" customWidth="1"/>
    <col min="10498" max="10501" width="0" style="7" hidden="1" customWidth="1"/>
    <col min="10502" max="10503" width="4.5703125" style="7" customWidth="1"/>
    <col min="10504" max="10504" width="7.5703125" style="7" customWidth="1"/>
    <col min="10505" max="10505" width="7.7109375" style="7" customWidth="1"/>
    <col min="10506" max="10506" width="6.5703125" style="7" customWidth="1"/>
    <col min="10507" max="10507" width="10.140625" style="7" customWidth="1"/>
    <col min="10508" max="10508" width="7.5703125" style="7" customWidth="1"/>
    <col min="10509" max="10509" width="11.5703125" style="7" customWidth="1"/>
    <col min="10510" max="10510" width="7.5703125" style="7" customWidth="1"/>
    <col min="10511" max="10511" width="11.5703125" style="7" customWidth="1"/>
    <col min="10512" max="10512" width="7.5703125" style="7" customWidth="1"/>
    <col min="10513" max="10513" width="11.7109375" style="7" customWidth="1"/>
    <col min="10514" max="10514" width="9.140625" style="7"/>
    <col min="10515" max="10515" width="13.28515625" style="7" customWidth="1"/>
    <col min="10516" max="10516" width="6.85546875" style="7" customWidth="1"/>
    <col min="10517" max="10517" width="10.7109375" style="7" customWidth="1"/>
    <col min="10518" max="10518" width="6.85546875" style="7" customWidth="1"/>
    <col min="10519" max="10519" width="10.7109375" style="7" customWidth="1"/>
    <col min="10520" max="10520" width="9.140625" style="7"/>
    <col min="10521" max="10521" width="11.42578125" style="7" customWidth="1"/>
    <col min="10522" max="10522" width="9.140625" style="7"/>
    <col min="10523" max="10523" width="13.140625" style="7" customWidth="1"/>
    <col min="10524" max="10524" width="11.28515625" style="7" bestFit="1" customWidth="1"/>
    <col min="10525" max="10525" width="13.28515625" style="7" customWidth="1"/>
    <col min="10526" max="10526" width="12.85546875" style="7" customWidth="1"/>
    <col min="10527" max="10749" width="9.140625" style="7"/>
    <col min="10750" max="10750" width="6" style="7" customWidth="1"/>
    <col min="10751" max="10751" width="6.7109375" style="7" customWidth="1"/>
    <col min="10752" max="10752" width="24.5703125" style="7" customWidth="1"/>
    <col min="10753" max="10753" width="5.42578125" style="7" customWidth="1"/>
    <col min="10754" max="10757" width="0" style="7" hidden="1" customWidth="1"/>
    <col min="10758" max="10759" width="4.5703125" style="7" customWidth="1"/>
    <col min="10760" max="10760" width="7.5703125" style="7" customWidth="1"/>
    <col min="10761" max="10761" width="7.7109375" style="7" customWidth="1"/>
    <col min="10762" max="10762" width="6.5703125" style="7" customWidth="1"/>
    <col min="10763" max="10763" width="10.140625" style="7" customWidth="1"/>
    <col min="10764" max="10764" width="7.5703125" style="7" customWidth="1"/>
    <col min="10765" max="10765" width="11.5703125" style="7" customWidth="1"/>
    <col min="10766" max="10766" width="7.5703125" style="7" customWidth="1"/>
    <col min="10767" max="10767" width="11.5703125" style="7" customWidth="1"/>
    <col min="10768" max="10768" width="7.5703125" style="7" customWidth="1"/>
    <col min="10769" max="10769" width="11.7109375" style="7" customWidth="1"/>
    <col min="10770" max="10770" width="9.140625" style="7"/>
    <col min="10771" max="10771" width="13.28515625" style="7" customWidth="1"/>
    <col min="10772" max="10772" width="6.85546875" style="7" customWidth="1"/>
    <col min="10773" max="10773" width="10.7109375" style="7" customWidth="1"/>
    <col min="10774" max="10774" width="6.85546875" style="7" customWidth="1"/>
    <col min="10775" max="10775" width="10.7109375" style="7" customWidth="1"/>
    <col min="10776" max="10776" width="9.140625" style="7"/>
    <col min="10777" max="10777" width="11.42578125" style="7" customWidth="1"/>
    <col min="10778" max="10778" width="9.140625" style="7"/>
    <col min="10779" max="10779" width="13.140625" style="7" customWidth="1"/>
    <col min="10780" max="10780" width="11.28515625" style="7" bestFit="1" customWidth="1"/>
    <col min="10781" max="10781" width="13.28515625" style="7" customWidth="1"/>
    <col min="10782" max="10782" width="12.85546875" style="7" customWidth="1"/>
    <col min="10783" max="11005" width="9.140625" style="7"/>
    <col min="11006" max="11006" width="6" style="7" customWidth="1"/>
    <col min="11007" max="11007" width="6.7109375" style="7" customWidth="1"/>
    <col min="11008" max="11008" width="24.5703125" style="7" customWidth="1"/>
    <col min="11009" max="11009" width="5.42578125" style="7" customWidth="1"/>
    <col min="11010" max="11013" width="0" style="7" hidden="1" customWidth="1"/>
    <col min="11014" max="11015" width="4.5703125" style="7" customWidth="1"/>
    <col min="11016" max="11016" width="7.5703125" style="7" customWidth="1"/>
    <col min="11017" max="11017" width="7.7109375" style="7" customWidth="1"/>
    <col min="11018" max="11018" width="6.5703125" style="7" customWidth="1"/>
    <col min="11019" max="11019" width="10.140625" style="7" customWidth="1"/>
    <col min="11020" max="11020" width="7.5703125" style="7" customWidth="1"/>
    <col min="11021" max="11021" width="11.5703125" style="7" customWidth="1"/>
    <col min="11022" max="11022" width="7.5703125" style="7" customWidth="1"/>
    <col min="11023" max="11023" width="11.5703125" style="7" customWidth="1"/>
    <col min="11024" max="11024" width="7.5703125" style="7" customWidth="1"/>
    <col min="11025" max="11025" width="11.7109375" style="7" customWidth="1"/>
    <col min="11026" max="11026" width="9.140625" style="7"/>
    <col min="11027" max="11027" width="13.28515625" style="7" customWidth="1"/>
    <col min="11028" max="11028" width="6.85546875" style="7" customWidth="1"/>
    <col min="11029" max="11029" width="10.7109375" style="7" customWidth="1"/>
    <col min="11030" max="11030" width="6.85546875" style="7" customWidth="1"/>
    <col min="11031" max="11031" width="10.7109375" style="7" customWidth="1"/>
    <col min="11032" max="11032" width="9.140625" style="7"/>
    <col min="11033" max="11033" width="11.42578125" style="7" customWidth="1"/>
    <col min="11034" max="11034" width="9.140625" style="7"/>
    <col min="11035" max="11035" width="13.140625" style="7" customWidth="1"/>
    <col min="11036" max="11036" width="11.28515625" style="7" bestFit="1" customWidth="1"/>
    <col min="11037" max="11037" width="13.28515625" style="7" customWidth="1"/>
    <col min="11038" max="11038" width="12.85546875" style="7" customWidth="1"/>
    <col min="11039" max="11261" width="9.140625" style="7"/>
    <col min="11262" max="11262" width="6" style="7" customWidth="1"/>
    <col min="11263" max="11263" width="6.7109375" style="7" customWidth="1"/>
    <col min="11264" max="11264" width="24.5703125" style="7" customWidth="1"/>
    <col min="11265" max="11265" width="5.42578125" style="7" customWidth="1"/>
    <col min="11266" max="11269" width="0" style="7" hidden="1" customWidth="1"/>
    <col min="11270" max="11271" width="4.5703125" style="7" customWidth="1"/>
    <col min="11272" max="11272" width="7.5703125" style="7" customWidth="1"/>
    <col min="11273" max="11273" width="7.7109375" style="7" customWidth="1"/>
    <col min="11274" max="11274" width="6.5703125" style="7" customWidth="1"/>
    <col min="11275" max="11275" width="10.140625" style="7" customWidth="1"/>
    <col min="11276" max="11276" width="7.5703125" style="7" customWidth="1"/>
    <col min="11277" max="11277" width="11.5703125" style="7" customWidth="1"/>
    <col min="11278" max="11278" width="7.5703125" style="7" customWidth="1"/>
    <col min="11279" max="11279" width="11.5703125" style="7" customWidth="1"/>
    <col min="11280" max="11280" width="7.5703125" style="7" customWidth="1"/>
    <col min="11281" max="11281" width="11.7109375" style="7" customWidth="1"/>
    <col min="11282" max="11282" width="9.140625" style="7"/>
    <col min="11283" max="11283" width="13.28515625" style="7" customWidth="1"/>
    <col min="11284" max="11284" width="6.85546875" style="7" customWidth="1"/>
    <col min="11285" max="11285" width="10.7109375" style="7" customWidth="1"/>
    <col min="11286" max="11286" width="6.85546875" style="7" customWidth="1"/>
    <col min="11287" max="11287" width="10.7109375" style="7" customWidth="1"/>
    <col min="11288" max="11288" width="9.140625" style="7"/>
    <col min="11289" max="11289" width="11.42578125" style="7" customWidth="1"/>
    <col min="11290" max="11290" width="9.140625" style="7"/>
    <col min="11291" max="11291" width="13.140625" style="7" customWidth="1"/>
    <col min="11292" max="11292" width="11.28515625" style="7" bestFit="1" customWidth="1"/>
    <col min="11293" max="11293" width="13.28515625" style="7" customWidth="1"/>
    <col min="11294" max="11294" width="12.85546875" style="7" customWidth="1"/>
    <col min="11295" max="11517" width="9.140625" style="7"/>
    <col min="11518" max="11518" width="6" style="7" customWidth="1"/>
    <col min="11519" max="11519" width="6.7109375" style="7" customWidth="1"/>
    <col min="11520" max="11520" width="24.5703125" style="7" customWidth="1"/>
    <col min="11521" max="11521" width="5.42578125" style="7" customWidth="1"/>
    <col min="11522" max="11525" width="0" style="7" hidden="1" customWidth="1"/>
    <col min="11526" max="11527" width="4.5703125" style="7" customWidth="1"/>
    <col min="11528" max="11528" width="7.5703125" style="7" customWidth="1"/>
    <col min="11529" max="11529" width="7.7109375" style="7" customWidth="1"/>
    <col min="11530" max="11530" width="6.5703125" style="7" customWidth="1"/>
    <col min="11531" max="11531" width="10.140625" style="7" customWidth="1"/>
    <col min="11532" max="11532" width="7.5703125" style="7" customWidth="1"/>
    <col min="11533" max="11533" width="11.5703125" style="7" customWidth="1"/>
    <col min="11534" max="11534" width="7.5703125" style="7" customWidth="1"/>
    <col min="11535" max="11535" width="11.5703125" style="7" customWidth="1"/>
    <col min="11536" max="11536" width="7.5703125" style="7" customWidth="1"/>
    <col min="11537" max="11537" width="11.7109375" style="7" customWidth="1"/>
    <col min="11538" max="11538" width="9.140625" style="7"/>
    <col min="11539" max="11539" width="13.28515625" style="7" customWidth="1"/>
    <col min="11540" max="11540" width="6.85546875" style="7" customWidth="1"/>
    <col min="11541" max="11541" width="10.7109375" style="7" customWidth="1"/>
    <col min="11542" max="11542" width="6.85546875" style="7" customWidth="1"/>
    <col min="11543" max="11543" width="10.7109375" style="7" customWidth="1"/>
    <col min="11544" max="11544" width="9.140625" style="7"/>
    <col min="11545" max="11545" width="11.42578125" style="7" customWidth="1"/>
    <col min="11546" max="11546" width="9.140625" style="7"/>
    <col min="11547" max="11547" width="13.140625" style="7" customWidth="1"/>
    <col min="11548" max="11548" width="11.28515625" style="7" bestFit="1" customWidth="1"/>
    <col min="11549" max="11549" width="13.28515625" style="7" customWidth="1"/>
    <col min="11550" max="11550" width="12.85546875" style="7" customWidth="1"/>
    <col min="11551" max="11773" width="9.140625" style="7"/>
    <col min="11774" max="11774" width="6" style="7" customWidth="1"/>
    <col min="11775" max="11775" width="6.7109375" style="7" customWidth="1"/>
    <col min="11776" max="11776" width="24.5703125" style="7" customWidth="1"/>
    <col min="11777" max="11777" width="5.42578125" style="7" customWidth="1"/>
    <col min="11778" max="11781" width="0" style="7" hidden="1" customWidth="1"/>
    <col min="11782" max="11783" width="4.5703125" style="7" customWidth="1"/>
    <col min="11784" max="11784" width="7.5703125" style="7" customWidth="1"/>
    <col min="11785" max="11785" width="7.7109375" style="7" customWidth="1"/>
    <col min="11786" max="11786" width="6.5703125" style="7" customWidth="1"/>
    <col min="11787" max="11787" width="10.140625" style="7" customWidth="1"/>
    <col min="11788" max="11788" width="7.5703125" style="7" customWidth="1"/>
    <col min="11789" max="11789" width="11.5703125" style="7" customWidth="1"/>
    <col min="11790" max="11790" width="7.5703125" style="7" customWidth="1"/>
    <col min="11791" max="11791" width="11.5703125" style="7" customWidth="1"/>
    <col min="11792" max="11792" width="7.5703125" style="7" customWidth="1"/>
    <col min="11793" max="11793" width="11.7109375" style="7" customWidth="1"/>
    <col min="11794" max="11794" width="9.140625" style="7"/>
    <col min="11795" max="11795" width="13.28515625" style="7" customWidth="1"/>
    <col min="11796" max="11796" width="6.85546875" style="7" customWidth="1"/>
    <col min="11797" max="11797" width="10.7109375" style="7" customWidth="1"/>
    <col min="11798" max="11798" width="6.85546875" style="7" customWidth="1"/>
    <col min="11799" max="11799" width="10.7109375" style="7" customWidth="1"/>
    <col min="11800" max="11800" width="9.140625" style="7"/>
    <col min="11801" max="11801" width="11.42578125" style="7" customWidth="1"/>
    <col min="11802" max="11802" width="9.140625" style="7"/>
    <col min="11803" max="11803" width="13.140625" style="7" customWidth="1"/>
    <col min="11804" max="11804" width="11.28515625" style="7" bestFit="1" customWidth="1"/>
    <col min="11805" max="11805" width="13.28515625" style="7" customWidth="1"/>
    <col min="11806" max="11806" width="12.85546875" style="7" customWidth="1"/>
    <col min="11807" max="12029" width="9.140625" style="7"/>
    <col min="12030" max="12030" width="6" style="7" customWidth="1"/>
    <col min="12031" max="12031" width="6.7109375" style="7" customWidth="1"/>
    <col min="12032" max="12032" width="24.5703125" style="7" customWidth="1"/>
    <col min="12033" max="12033" width="5.42578125" style="7" customWidth="1"/>
    <col min="12034" max="12037" width="0" style="7" hidden="1" customWidth="1"/>
    <col min="12038" max="12039" width="4.5703125" style="7" customWidth="1"/>
    <col min="12040" max="12040" width="7.5703125" style="7" customWidth="1"/>
    <col min="12041" max="12041" width="7.7109375" style="7" customWidth="1"/>
    <col min="12042" max="12042" width="6.5703125" style="7" customWidth="1"/>
    <col min="12043" max="12043" width="10.140625" style="7" customWidth="1"/>
    <col min="12044" max="12044" width="7.5703125" style="7" customWidth="1"/>
    <col min="12045" max="12045" width="11.5703125" style="7" customWidth="1"/>
    <col min="12046" max="12046" width="7.5703125" style="7" customWidth="1"/>
    <col min="12047" max="12047" width="11.5703125" style="7" customWidth="1"/>
    <col min="12048" max="12048" width="7.5703125" style="7" customWidth="1"/>
    <col min="12049" max="12049" width="11.7109375" style="7" customWidth="1"/>
    <col min="12050" max="12050" width="9.140625" style="7"/>
    <col min="12051" max="12051" width="13.28515625" style="7" customWidth="1"/>
    <col min="12052" max="12052" width="6.85546875" style="7" customWidth="1"/>
    <col min="12053" max="12053" width="10.7109375" style="7" customWidth="1"/>
    <col min="12054" max="12054" width="6.85546875" style="7" customWidth="1"/>
    <col min="12055" max="12055" width="10.7109375" style="7" customWidth="1"/>
    <col min="12056" max="12056" width="9.140625" style="7"/>
    <col min="12057" max="12057" width="11.42578125" style="7" customWidth="1"/>
    <col min="12058" max="12058" width="9.140625" style="7"/>
    <col min="12059" max="12059" width="13.140625" style="7" customWidth="1"/>
    <col min="12060" max="12060" width="11.28515625" style="7" bestFit="1" customWidth="1"/>
    <col min="12061" max="12061" width="13.28515625" style="7" customWidth="1"/>
    <col min="12062" max="12062" width="12.85546875" style="7" customWidth="1"/>
    <col min="12063" max="12285" width="9.140625" style="7"/>
    <col min="12286" max="12286" width="6" style="7" customWidth="1"/>
    <col min="12287" max="12287" width="6.7109375" style="7" customWidth="1"/>
    <col min="12288" max="12288" width="24.5703125" style="7" customWidth="1"/>
    <col min="12289" max="12289" width="5.42578125" style="7" customWidth="1"/>
    <col min="12290" max="12293" width="0" style="7" hidden="1" customWidth="1"/>
    <col min="12294" max="12295" width="4.5703125" style="7" customWidth="1"/>
    <col min="12296" max="12296" width="7.5703125" style="7" customWidth="1"/>
    <col min="12297" max="12297" width="7.7109375" style="7" customWidth="1"/>
    <col min="12298" max="12298" width="6.5703125" style="7" customWidth="1"/>
    <col min="12299" max="12299" width="10.140625" style="7" customWidth="1"/>
    <col min="12300" max="12300" width="7.5703125" style="7" customWidth="1"/>
    <col min="12301" max="12301" width="11.5703125" style="7" customWidth="1"/>
    <col min="12302" max="12302" width="7.5703125" style="7" customWidth="1"/>
    <col min="12303" max="12303" width="11.5703125" style="7" customWidth="1"/>
    <col min="12304" max="12304" width="7.5703125" style="7" customWidth="1"/>
    <col min="12305" max="12305" width="11.7109375" style="7" customWidth="1"/>
    <col min="12306" max="12306" width="9.140625" style="7"/>
    <col min="12307" max="12307" width="13.28515625" style="7" customWidth="1"/>
    <col min="12308" max="12308" width="6.85546875" style="7" customWidth="1"/>
    <col min="12309" max="12309" width="10.7109375" style="7" customWidth="1"/>
    <col min="12310" max="12310" width="6.85546875" style="7" customWidth="1"/>
    <col min="12311" max="12311" width="10.7109375" style="7" customWidth="1"/>
    <col min="12312" max="12312" width="9.140625" style="7"/>
    <col min="12313" max="12313" width="11.42578125" style="7" customWidth="1"/>
    <col min="12314" max="12314" width="9.140625" style="7"/>
    <col min="12315" max="12315" width="13.140625" style="7" customWidth="1"/>
    <col min="12316" max="12316" width="11.28515625" style="7" bestFit="1" customWidth="1"/>
    <col min="12317" max="12317" width="13.28515625" style="7" customWidth="1"/>
    <col min="12318" max="12318" width="12.85546875" style="7" customWidth="1"/>
    <col min="12319" max="12541" width="9.140625" style="7"/>
    <col min="12542" max="12542" width="6" style="7" customWidth="1"/>
    <col min="12543" max="12543" width="6.7109375" style="7" customWidth="1"/>
    <col min="12544" max="12544" width="24.5703125" style="7" customWidth="1"/>
    <col min="12545" max="12545" width="5.42578125" style="7" customWidth="1"/>
    <col min="12546" max="12549" width="0" style="7" hidden="1" customWidth="1"/>
    <col min="12550" max="12551" width="4.5703125" style="7" customWidth="1"/>
    <col min="12552" max="12552" width="7.5703125" style="7" customWidth="1"/>
    <col min="12553" max="12553" width="7.7109375" style="7" customWidth="1"/>
    <col min="12554" max="12554" width="6.5703125" style="7" customWidth="1"/>
    <col min="12555" max="12555" width="10.140625" style="7" customWidth="1"/>
    <col min="12556" max="12556" width="7.5703125" style="7" customWidth="1"/>
    <col min="12557" max="12557" width="11.5703125" style="7" customWidth="1"/>
    <col min="12558" max="12558" width="7.5703125" style="7" customWidth="1"/>
    <col min="12559" max="12559" width="11.5703125" style="7" customWidth="1"/>
    <col min="12560" max="12560" width="7.5703125" style="7" customWidth="1"/>
    <col min="12561" max="12561" width="11.7109375" style="7" customWidth="1"/>
    <col min="12562" max="12562" width="9.140625" style="7"/>
    <col min="12563" max="12563" width="13.28515625" style="7" customWidth="1"/>
    <col min="12564" max="12564" width="6.85546875" style="7" customWidth="1"/>
    <col min="12565" max="12565" width="10.7109375" style="7" customWidth="1"/>
    <col min="12566" max="12566" width="6.85546875" style="7" customWidth="1"/>
    <col min="12567" max="12567" width="10.7109375" style="7" customWidth="1"/>
    <col min="12568" max="12568" width="9.140625" style="7"/>
    <col min="12569" max="12569" width="11.42578125" style="7" customWidth="1"/>
    <col min="12570" max="12570" width="9.140625" style="7"/>
    <col min="12571" max="12571" width="13.140625" style="7" customWidth="1"/>
    <col min="12572" max="12572" width="11.28515625" style="7" bestFit="1" customWidth="1"/>
    <col min="12573" max="12573" width="13.28515625" style="7" customWidth="1"/>
    <col min="12574" max="12574" width="12.85546875" style="7" customWidth="1"/>
    <col min="12575" max="12797" width="9.140625" style="7"/>
    <col min="12798" max="12798" width="6" style="7" customWidth="1"/>
    <col min="12799" max="12799" width="6.7109375" style="7" customWidth="1"/>
    <col min="12800" max="12800" width="24.5703125" style="7" customWidth="1"/>
    <col min="12801" max="12801" width="5.42578125" style="7" customWidth="1"/>
    <col min="12802" max="12805" width="0" style="7" hidden="1" customWidth="1"/>
    <col min="12806" max="12807" width="4.5703125" style="7" customWidth="1"/>
    <col min="12808" max="12808" width="7.5703125" style="7" customWidth="1"/>
    <col min="12809" max="12809" width="7.7109375" style="7" customWidth="1"/>
    <col min="12810" max="12810" width="6.5703125" style="7" customWidth="1"/>
    <col min="12811" max="12811" width="10.140625" style="7" customWidth="1"/>
    <col min="12812" max="12812" width="7.5703125" style="7" customWidth="1"/>
    <col min="12813" max="12813" width="11.5703125" style="7" customWidth="1"/>
    <col min="12814" max="12814" width="7.5703125" style="7" customWidth="1"/>
    <col min="12815" max="12815" width="11.5703125" style="7" customWidth="1"/>
    <col min="12816" max="12816" width="7.5703125" style="7" customWidth="1"/>
    <col min="12817" max="12817" width="11.7109375" style="7" customWidth="1"/>
    <col min="12818" max="12818" width="9.140625" style="7"/>
    <col min="12819" max="12819" width="13.28515625" style="7" customWidth="1"/>
    <col min="12820" max="12820" width="6.85546875" style="7" customWidth="1"/>
    <col min="12821" max="12821" width="10.7109375" style="7" customWidth="1"/>
    <col min="12822" max="12822" width="6.85546875" style="7" customWidth="1"/>
    <col min="12823" max="12823" width="10.7109375" style="7" customWidth="1"/>
    <col min="12824" max="12824" width="9.140625" style="7"/>
    <col min="12825" max="12825" width="11.42578125" style="7" customWidth="1"/>
    <col min="12826" max="12826" width="9.140625" style="7"/>
    <col min="12827" max="12827" width="13.140625" style="7" customWidth="1"/>
    <col min="12828" max="12828" width="11.28515625" style="7" bestFit="1" customWidth="1"/>
    <col min="12829" max="12829" width="13.28515625" style="7" customWidth="1"/>
    <col min="12830" max="12830" width="12.85546875" style="7" customWidth="1"/>
    <col min="12831" max="13053" width="9.140625" style="7"/>
    <col min="13054" max="13054" width="6" style="7" customWidth="1"/>
    <col min="13055" max="13055" width="6.7109375" style="7" customWidth="1"/>
    <col min="13056" max="13056" width="24.5703125" style="7" customWidth="1"/>
    <col min="13057" max="13057" width="5.42578125" style="7" customWidth="1"/>
    <col min="13058" max="13061" width="0" style="7" hidden="1" customWidth="1"/>
    <col min="13062" max="13063" width="4.5703125" style="7" customWidth="1"/>
    <col min="13064" max="13064" width="7.5703125" style="7" customWidth="1"/>
    <col min="13065" max="13065" width="7.7109375" style="7" customWidth="1"/>
    <col min="13066" max="13066" width="6.5703125" style="7" customWidth="1"/>
    <col min="13067" max="13067" width="10.140625" style="7" customWidth="1"/>
    <col min="13068" max="13068" width="7.5703125" style="7" customWidth="1"/>
    <col min="13069" max="13069" width="11.5703125" style="7" customWidth="1"/>
    <col min="13070" max="13070" width="7.5703125" style="7" customWidth="1"/>
    <col min="13071" max="13071" width="11.5703125" style="7" customWidth="1"/>
    <col min="13072" max="13072" width="7.5703125" style="7" customWidth="1"/>
    <col min="13073" max="13073" width="11.7109375" style="7" customWidth="1"/>
    <col min="13074" max="13074" width="9.140625" style="7"/>
    <col min="13075" max="13075" width="13.28515625" style="7" customWidth="1"/>
    <col min="13076" max="13076" width="6.85546875" style="7" customWidth="1"/>
    <col min="13077" max="13077" width="10.7109375" style="7" customWidth="1"/>
    <col min="13078" max="13078" width="6.85546875" style="7" customWidth="1"/>
    <col min="13079" max="13079" width="10.7109375" style="7" customWidth="1"/>
    <col min="13080" max="13080" width="9.140625" style="7"/>
    <col min="13081" max="13081" width="11.42578125" style="7" customWidth="1"/>
    <col min="13082" max="13082" width="9.140625" style="7"/>
    <col min="13083" max="13083" width="13.140625" style="7" customWidth="1"/>
    <col min="13084" max="13084" width="11.28515625" style="7" bestFit="1" customWidth="1"/>
    <col min="13085" max="13085" width="13.28515625" style="7" customWidth="1"/>
    <col min="13086" max="13086" width="12.85546875" style="7" customWidth="1"/>
    <col min="13087" max="13309" width="9.140625" style="7"/>
    <col min="13310" max="13310" width="6" style="7" customWidth="1"/>
    <col min="13311" max="13311" width="6.7109375" style="7" customWidth="1"/>
    <col min="13312" max="13312" width="24.5703125" style="7" customWidth="1"/>
    <col min="13313" max="13313" width="5.42578125" style="7" customWidth="1"/>
    <col min="13314" max="13317" width="0" style="7" hidden="1" customWidth="1"/>
    <col min="13318" max="13319" width="4.5703125" style="7" customWidth="1"/>
    <col min="13320" max="13320" width="7.5703125" style="7" customWidth="1"/>
    <col min="13321" max="13321" width="7.7109375" style="7" customWidth="1"/>
    <col min="13322" max="13322" width="6.5703125" style="7" customWidth="1"/>
    <col min="13323" max="13323" width="10.140625" style="7" customWidth="1"/>
    <col min="13324" max="13324" width="7.5703125" style="7" customWidth="1"/>
    <col min="13325" max="13325" width="11.5703125" style="7" customWidth="1"/>
    <col min="13326" max="13326" width="7.5703125" style="7" customWidth="1"/>
    <col min="13327" max="13327" width="11.5703125" style="7" customWidth="1"/>
    <col min="13328" max="13328" width="7.5703125" style="7" customWidth="1"/>
    <col min="13329" max="13329" width="11.7109375" style="7" customWidth="1"/>
    <col min="13330" max="13330" width="9.140625" style="7"/>
    <col min="13331" max="13331" width="13.28515625" style="7" customWidth="1"/>
    <col min="13332" max="13332" width="6.85546875" style="7" customWidth="1"/>
    <col min="13333" max="13333" width="10.7109375" style="7" customWidth="1"/>
    <col min="13334" max="13334" width="6.85546875" style="7" customWidth="1"/>
    <col min="13335" max="13335" width="10.7109375" style="7" customWidth="1"/>
    <col min="13336" max="13336" width="9.140625" style="7"/>
    <col min="13337" max="13337" width="11.42578125" style="7" customWidth="1"/>
    <col min="13338" max="13338" width="9.140625" style="7"/>
    <col min="13339" max="13339" width="13.140625" style="7" customWidth="1"/>
    <col min="13340" max="13340" width="11.28515625" style="7" bestFit="1" customWidth="1"/>
    <col min="13341" max="13341" width="13.28515625" style="7" customWidth="1"/>
    <col min="13342" max="13342" width="12.85546875" style="7" customWidth="1"/>
    <col min="13343" max="13565" width="9.140625" style="7"/>
    <col min="13566" max="13566" width="6" style="7" customWidth="1"/>
    <col min="13567" max="13567" width="6.7109375" style="7" customWidth="1"/>
    <col min="13568" max="13568" width="24.5703125" style="7" customWidth="1"/>
    <col min="13569" max="13569" width="5.42578125" style="7" customWidth="1"/>
    <col min="13570" max="13573" width="0" style="7" hidden="1" customWidth="1"/>
    <col min="13574" max="13575" width="4.5703125" style="7" customWidth="1"/>
    <col min="13576" max="13576" width="7.5703125" style="7" customWidth="1"/>
    <col min="13577" max="13577" width="7.7109375" style="7" customWidth="1"/>
    <col min="13578" max="13578" width="6.5703125" style="7" customWidth="1"/>
    <col min="13579" max="13579" width="10.140625" style="7" customWidth="1"/>
    <col min="13580" max="13580" width="7.5703125" style="7" customWidth="1"/>
    <col min="13581" max="13581" width="11.5703125" style="7" customWidth="1"/>
    <col min="13582" max="13582" width="7.5703125" style="7" customWidth="1"/>
    <col min="13583" max="13583" width="11.5703125" style="7" customWidth="1"/>
    <col min="13584" max="13584" width="7.5703125" style="7" customWidth="1"/>
    <col min="13585" max="13585" width="11.7109375" style="7" customWidth="1"/>
    <col min="13586" max="13586" width="9.140625" style="7"/>
    <col min="13587" max="13587" width="13.28515625" style="7" customWidth="1"/>
    <col min="13588" max="13588" width="6.85546875" style="7" customWidth="1"/>
    <col min="13589" max="13589" width="10.7109375" style="7" customWidth="1"/>
    <col min="13590" max="13590" width="6.85546875" style="7" customWidth="1"/>
    <col min="13591" max="13591" width="10.7109375" style="7" customWidth="1"/>
    <col min="13592" max="13592" width="9.140625" style="7"/>
    <col min="13593" max="13593" width="11.42578125" style="7" customWidth="1"/>
    <col min="13594" max="13594" width="9.140625" style="7"/>
    <col min="13595" max="13595" width="13.140625" style="7" customWidth="1"/>
    <col min="13596" max="13596" width="11.28515625" style="7" bestFit="1" customWidth="1"/>
    <col min="13597" max="13597" width="13.28515625" style="7" customWidth="1"/>
    <col min="13598" max="13598" width="12.85546875" style="7" customWidth="1"/>
    <col min="13599" max="13821" width="9.140625" style="7"/>
    <col min="13822" max="13822" width="6" style="7" customWidth="1"/>
    <col min="13823" max="13823" width="6.7109375" style="7" customWidth="1"/>
    <col min="13824" max="13824" width="24.5703125" style="7" customWidth="1"/>
    <col min="13825" max="13825" width="5.42578125" style="7" customWidth="1"/>
    <col min="13826" max="13829" width="0" style="7" hidden="1" customWidth="1"/>
    <col min="13830" max="13831" width="4.5703125" style="7" customWidth="1"/>
    <col min="13832" max="13832" width="7.5703125" style="7" customWidth="1"/>
    <col min="13833" max="13833" width="7.7109375" style="7" customWidth="1"/>
    <col min="13834" max="13834" width="6.5703125" style="7" customWidth="1"/>
    <col min="13835" max="13835" width="10.140625" style="7" customWidth="1"/>
    <col min="13836" max="13836" width="7.5703125" style="7" customWidth="1"/>
    <col min="13837" max="13837" width="11.5703125" style="7" customWidth="1"/>
    <col min="13838" max="13838" width="7.5703125" style="7" customWidth="1"/>
    <col min="13839" max="13839" width="11.5703125" style="7" customWidth="1"/>
    <col min="13840" max="13840" width="7.5703125" style="7" customWidth="1"/>
    <col min="13841" max="13841" width="11.7109375" style="7" customWidth="1"/>
    <col min="13842" max="13842" width="9.140625" style="7"/>
    <col min="13843" max="13843" width="13.28515625" style="7" customWidth="1"/>
    <col min="13844" max="13844" width="6.85546875" style="7" customWidth="1"/>
    <col min="13845" max="13845" width="10.7109375" style="7" customWidth="1"/>
    <col min="13846" max="13846" width="6.85546875" style="7" customWidth="1"/>
    <col min="13847" max="13847" width="10.7109375" style="7" customWidth="1"/>
    <col min="13848" max="13848" width="9.140625" style="7"/>
    <col min="13849" max="13849" width="11.42578125" style="7" customWidth="1"/>
    <col min="13850" max="13850" width="9.140625" style="7"/>
    <col min="13851" max="13851" width="13.140625" style="7" customWidth="1"/>
    <col min="13852" max="13852" width="11.28515625" style="7" bestFit="1" customWidth="1"/>
    <col min="13853" max="13853" width="13.28515625" style="7" customWidth="1"/>
    <col min="13854" max="13854" width="12.85546875" style="7" customWidth="1"/>
    <col min="13855" max="14077" width="9.140625" style="7"/>
    <col min="14078" max="14078" width="6" style="7" customWidth="1"/>
    <col min="14079" max="14079" width="6.7109375" style="7" customWidth="1"/>
    <col min="14080" max="14080" width="24.5703125" style="7" customWidth="1"/>
    <col min="14081" max="14081" width="5.42578125" style="7" customWidth="1"/>
    <col min="14082" max="14085" width="0" style="7" hidden="1" customWidth="1"/>
    <col min="14086" max="14087" width="4.5703125" style="7" customWidth="1"/>
    <col min="14088" max="14088" width="7.5703125" style="7" customWidth="1"/>
    <col min="14089" max="14089" width="7.7109375" style="7" customWidth="1"/>
    <col min="14090" max="14090" width="6.5703125" style="7" customWidth="1"/>
    <col min="14091" max="14091" width="10.140625" style="7" customWidth="1"/>
    <col min="14092" max="14092" width="7.5703125" style="7" customWidth="1"/>
    <col min="14093" max="14093" width="11.5703125" style="7" customWidth="1"/>
    <col min="14094" max="14094" width="7.5703125" style="7" customWidth="1"/>
    <col min="14095" max="14095" width="11.5703125" style="7" customWidth="1"/>
    <col min="14096" max="14096" width="7.5703125" style="7" customWidth="1"/>
    <col min="14097" max="14097" width="11.7109375" style="7" customWidth="1"/>
    <col min="14098" max="14098" width="9.140625" style="7"/>
    <col min="14099" max="14099" width="13.28515625" style="7" customWidth="1"/>
    <col min="14100" max="14100" width="6.85546875" style="7" customWidth="1"/>
    <col min="14101" max="14101" width="10.7109375" style="7" customWidth="1"/>
    <col min="14102" max="14102" width="6.85546875" style="7" customWidth="1"/>
    <col min="14103" max="14103" width="10.7109375" style="7" customWidth="1"/>
    <col min="14104" max="14104" width="9.140625" style="7"/>
    <col min="14105" max="14105" width="11.42578125" style="7" customWidth="1"/>
    <col min="14106" max="14106" width="9.140625" style="7"/>
    <col min="14107" max="14107" width="13.140625" style="7" customWidth="1"/>
    <col min="14108" max="14108" width="11.28515625" style="7" bestFit="1" customWidth="1"/>
    <col min="14109" max="14109" width="13.28515625" style="7" customWidth="1"/>
    <col min="14110" max="14110" width="12.85546875" style="7" customWidth="1"/>
    <col min="14111" max="14333" width="9.140625" style="7"/>
    <col min="14334" max="14334" width="6" style="7" customWidth="1"/>
    <col min="14335" max="14335" width="6.7109375" style="7" customWidth="1"/>
    <col min="14336" max="14336" width="24.5703125" style="7" customWidth="1"/>
    <col min="14337" max="14337" width="5.42578125" style="7" customWidth="1"/>
    <col min="14338" max="14341" width="0" style="7" hidden="1" customWidth="1"/>
    <col min="14342" max="14343" width="4.5703125" style="7" customWidth="1"/>
    <col min="14344" max="14344" width="7.5703125" style="7" customWidth="1"/>
    <col min="14345" max="14345" width="7.7109375" style="7" customWidth="1"/>
    <col min="14346" max="14346" width="6.5703125" style="7" customWidth="1"/>
    <col min="14347" max="14347" width="10.140625" style="7" customWidth="1"/>
    <col min="14348" max="14348" width="7.5703125" style="7" customWidth="1"/>
    <col min="14349" max="14349" width="11.5703125" style="7" customWidth="1"/>
    <col min="14350" max="14350" width="7.5703125" style="7" customWidth="1"/>
    <col min="14351" max="14351" width="11.5703125" style="7" customWidth="1"/>
    <col min="14352" max="14352" width="7.5703125" style="7" customWidth="1"/>
    <col min="14353" max="14353" width="11.7109375" style="7" customWidth="1"/>
    <col min="14354" max="14354" width="9.140625" style="7"/>
    <col min="14355" max="14355" width="13.28515625" style="7" customWidth="1"/>
    <col min="14356" max="14356" width="6.85546875" style="7" customWidth="1"/>
    <col min="14357" max="14357" width="10.7109375" style="7" customWidth="1"/>
    <col min="14358" max="14358" width="6.85546875" style="7" customWidth="1"/>
    <col min="14359" max="14359" width="10.7109375" style="7" customWidth="1"/>
    <col min="14360" max="14360" width="9.140625" style="7"/>
    <col min="14361" max="14361" width="11.42578125" style="7" customWidth="1"/>
    <col min="14362" max="14362" width="9.140625" style="7"/>
    <col min="14363" max="14363" width="13.140625" style="7" customWidth="1"/>
    <col min="14364" max="14364" width="11.28515625" style="7" bestFit="1" customWidth="1"/>
    <col min="14365" max="14365" width="13.28515625" style="7" customWidth="1"/>
    <col min="14366" max="14366" width="12.85546875" style="7" customWidth="1"/>
    <col min="14367" max="14589" width="9.140625" style="7"/>
    <col min="14590" max="14590" width="6" style="7" customWidth="1"/>
    <col min="14591" max="14591" width="6.7109375" style="7" customWidth="1"/>
    <col min="14592" max="14592" width="24.5703125" style="7" customWidth="1"/>
    <col min="14593" max="14593" width="5.42578125" style="7" customWidth="1"/>
    <col min="14594" max="14597" width="0" style="7" hidden="1" customWidth="1"/>
    <col min="14598" max="14599" width="4.5703125" style="7" customWidth="1"/>
    <col min="14600" max="14600" width="7.5703125" style="7" customWidth="1"/>
    <col min="14601" max="14601" width="7.7109375" style="7" customWidth="1"/>
    <col min="14602" max="14602" width="6.5703125" style="7" customWidth="1"/>
    <col min="14603" max="14603" width="10.140625" style="7" customWidth="1"/>
    <col min="14604" max="14604" width="7.5703125" style="7" customWidth="1"/>
    <col min="14605" max="14605" width="11.5703125" style="7" customWidth="1"/>
    <col min="14606" max="14606" width="7.5703125" style="7" customWidth="1"/>
    <col min="14607" max="14607" width="11.5703125" style="7" customWidth="1"/>
    <col min="14608" max="14608" width="7.5703125" style="7" customWidth="1"/>
    <col min="14609" max="14609" width="11.7109375" style="7" customWidth="1"/>
    <col min="14610" max="14610" width="9.140625" style="7"/>
    <col min="14611" max="14611" width="13.28515625" style="7" customWidth="1"/>
    <col min="14612" max="14612" width="6.85546875" style="7" customWidth="1"/>
    <col min="14613" max="14613" width="10.7109375" style="7" customWidth="1"/>
    <col min="14614" max="14614" width="6.85546875" style="7" customWidth="1"/>
    <col min="14615" max="14615" width="10.7109375" style="7" customWidth="1"/>
    <col min="14616" max="14616" width="9.140625" style="7"/>
    <col min="14617" max="14617" width="11.42578125" style="7" customWidth="1"/>
    <col min="14618" max="14618" width="9.140625" style="7"/>
    <col min="14619" max="14619" width="13.140625" style="7" customWidth="1"/>
    <col min="14620" max="14620" width="11.28515625" style="7" bestFit="1" customWidth="1"/>
    <col min="14621" max="14621" width="13.28515625" style="7" customWidth="1"/>
    <col min="14622" max="14622" width="12.85546875" style="7" customWidth="1"/>
    <col min="14623" max="14845" width="9.140625" style="7"/>
    <col min="14846" max="14846" width="6" style="7" customWidth="1"/>
    <col min="14847" max="14847" width="6.7109375" style="7" customWidth="1"/>
    <col min="14848" max="14848" width="24.5703125" style="7" customWidth="1"/>
    <col min="14849" max="14849" width="5.42578125" style="7" customWidth="1"/>
    <col min="14850" max="14853" width="0" style="7" hidden="1" customWidth="1"/>
    <col min="14854" max="14855" width="4.5703125" style="7" customWidth="1"/>
    <col min="14856" max="14856" width="7.5703125" style="7" customWidth="1"/>
    <col min="14857" max="14857" width="7.7109375" style="7" customWidth="1"/>
    <col min="14858" max="14858" width="6.5703125" style="7" customWidth="1"/>
    <col min="14859" max="14859" width="10.140625" style="7" customWidth="1"/>
    <col min="14860" max="14860" width="7.5703125" style="7" customWidth="1"/>
    <col min="14861" max="14861" width="11.5703125" style="7" customWidth="1"/>
    <col min="14862" max="14862" width="7.5703125" style="7" customWidth="1"/>
    <col min="14863" max="14863" width="11.5703125" style="7" customWidth="1"/>
    <col min="14864" max="14864" width="7.5703125" style="7" customWidth="1"/>
    <col min="14865" max="14865" width="11.7109375" style="7" customWidth="1"/>
    <col min="14866" max="14866" width="9.140625" style="7"/>
    <col min="14867" max="14867" width="13.28515625" style="7" customWidth="1"/>
    <col min="14868" max="14868" width="6.85546875" style="7" customWidth="1"/>
    <col min="14869" max="14869" width="10.7109375" style="7" customWidth="1"/>
    <col min="14870" max="14870" width="6.85546875" style="7" customWidth="1"/>
    <col min="14871" max="14871" width="10.7109375" style="7" customWidth="1"/>
    <col min="14872" max="14872" width="9.140625" style="7"/>
    <col min="14873" max="14873" width="11.42578125" style="7" customWidth="1"/>
    <col min="14874" max="14874" width="9.140625" style="7"/>
    <col min="14875" max="14875" width="13.140625" style="7" customWidth="1"/>
    <col min="14876" max="14876" width="11.28515625" style="7" bestFit="1" customWidth="1"/>
    <col min="14877" max="14877" width="13.28515625" style="7" customWidth="1"/>
    <col min="14878" max="14878" width="12.85546875" style="7" customWidth="1"/>
    <col min="14879" max="15101" width="9.140625" style="7"/>
    <col min="15102" max="15102" width="6" style="7" customWidth="1"/>
    <col min="15103" max="15103" width="6.7109375" style="7" customWidth="1"/>
    <col min="15104" max="15104" width="24.5703125" style="7" customWidth="1"/>
    <col min="15105" max="15105" width="5.42578125" style="7" customWidth="1"/>
    <col min="15106" max="15109" width="0" style="7" hidden="1" customWidth="1"/>
    <col min="15110" max="15111" width="4.5703125" style="7" customWidth="1"/>
    <col min="15112" max="15112" width="7.5703125" style="7" customWidth="1"/>
    <col min="15113" max="15113" width="7.7109375" style="7" customWidth="1"/>
    <col min="15114" max="15114" width="6.5703125" style="7" customWidth="1"/>
    <col min="15115" max="15115" width="10.140625" style="7" customWidth="1"/>
    <col min="15116" max="15116" width="7.5703125" style="7" customWidth="1"/>
    <col min="15117" max="15117" width="11.5703125" style="7" customWidth="1"/>
    <col min="15118" max="15118" width="7.5703125" style="7" customWidth="1"/>
    <col min="15119" max="15119" width="11.5703125" style="7" customWidth="1"/>
    <col min="15120" max="15120" width="7.5703125" style="7" customWidth="1"/>
    <col min="15121" max="15121" width="11.7109375" style="7" customWidth="1"/>
    <col min="15122" max="15122" width="9.140625" style="7"/>
    <col min="15123" max="15123" width="13.28515625" style="7" customWidth="1"/>
    <col min="15124" max="15124" width="6.85546875" style="7" customWidth="1"/>
    <col min="15125" max="15125" width="10.7109375" style="7" customWidth="1"/>
    <col min="15126" max="15126" width="6.85546875" style="7" customWidth="1"/>
    <col min="15127" max="15127" width="10.7109375" style="7" customWidth="1"/>
    <col min="15128" max="15128" width="9.140625" style="7"/>
    <col min="15129" max="15129" width="11.42578125" style="7" customWidth="1"/>
    <col min="15130" max="15130" width="9.140625" style="7"/>
    <col min="15131" max="15131" width="13.140625" style="7" customWidth="1"/>
    <col min="15132" max="15132" width="11.28515625" style="7" bestFit="1" customWidth="1"/>
    <col min="15133" max="15133" width="13.28515625" style="7" customWidth="1"/>
    <col min="15134" max="15134" width="12.85546875" style="7" customWidth="1"/>
    <col min="15135" max="15357" width="9.140625" style="7"/>
    <col min="15358" max="15358" width="6" style="7" customWidth="1"/>
    <col min="15359" max="15359" width="6.7109375" style="7" customWidth="1"/>
    <col min="15360" max="15360" width="24.5703125" style="7" customWidth="1"/>
    <col min="15361" max="15361" width="5.42578125" style="7" customWidth="1"/>
    <col min="15362" max="15365" width="0" style="7" hidden="1" customWidth="1"/>
    <col min="15366" max="15367" width="4.5703125" style="7" customWidth="1"/>
    <col min="15368" max="15368" width="7.5703125" style="7" customWidth="1"/>
    <col min="15369" max="15369" width="7.7109375" style="7" customWidth="1"/>
    <col min="15370" max="15370" width="6.5703125" style="7" customWidth="1"/>
    <col min="15371" max="15371" width="10.140625" style="7" customWidth="1"/>
    <col min="15372" max="15372" width="7.5703125" style="7" customWidth="1"/>
    <col min="15373" max="15373" width="11.5703125" style="7" customWidth="1"/>
    <col min="15374" max="15374" width="7.5703125" style="7" customWidth="1"/>
    <col min="15375" max="15375" width="11.5703125" style="7" customWidth="1"/>
    <col min="15376" max="15376" width="7.5703125" style="7" customWidth="1"/>
    <col min="15377" max="15377" width="11.7109375" style="7" customWidth="1"/>
    <col min="15378" max="15378" width="9.140625" style="7"/>
    <col min="15379" max="15379" width="13.28515625" style="7" customWidth="1"/>
    <col min="15380" max="15380" width="6.85546875" style="7" customWidth="1"/>
    <col min="15381" max="15381" width="10.7109375" style="7" customWidth="1"/>
    <col min="15382" max="15382" width="6.85546875" style="7" customWidth="1"/>
    <col min="15383" max="15383" width="10.7109375" style="7" customWidth="1"/>
    <col min="15384" max="15384" width="9.140625" style="7"/>
    <col min="15385" max="15385" width="11.42578125" style="7" customWidth="1"/>
    <col min="15386" max="15386" width="9.140625" style="7"/>
    <col min="15387" max="15387" width="13.140625" style="7" customWidth="1"/>
    <col min="15388" max="15388" width="11.28515625" style="7" bestFit="1" customWidth="1"/>
    <col min="15389" max="15389" width="13.28515625" style="7" customWidth="1"/>
    <col min="15390" max="15390" width="12.85546875" style="7" customWidth="1"/>
    <col min="15391" max="15613" width="9.140625" style="7"/>
    <col min="15614" max="15614" width="6" style="7" customWidth="1"/>
    <col min="15615" max="15615" width="6.7109375" style="7" customWidth="1"/>
    <col min="15616" max="15616" width="24.5703125" style="7" customWidth="1"/>
    <col min="15617" max="15617" width="5.42578125" style="7" customWidth="1"/>
    <col min="15618" max="15621" width="0" style="7" hidden="1" customWidth="1"/>
    <col min="15622" max="15623" width="4.5703125" style="7" customWidth="1"/>
    <col min="15624" max="15624" width="7.5703125" style="7" customWidth="1"/>
    <col min="15625" max="15625" width="7.7109375" style="7" customWidth="1"/>
    <col min="15626" max="15626" width="6.5703125" style="7" customWidth="1"/>
    <col min="15627" max="15627" width="10.140625" style="7" customWidth="1"/>
    <col min="15628" max="15628" width="7.5703125" style="7" customWidth="1"/>
    <col min="15629" max="15629" width="11.5703125" style="7" customWidth="1"/>
    <col min="15630" max="15630" width="7.5703125" style="7" customWidth="1"/>
    <col min="15631" max="15631" width="11.5703125" style="7" customWidth="1"/>
    <col min="15632" max="15632" width="7.5703125" style="7" customWidth="1"/>
    <col min="15633" max="15633" width="11.7109375" style="7" customWidth="1"/>
    <col min="15634" max="15634" width="9.140625" style="7"/>
    <col min="15635" max="15635" width="13.28515625" style="7" customWidth="1"/>
    <col min="15636" max="15636" width="6.85546875" style="7" customWidth="1"/>
    <col min="15637" max="15637" width="10.7109375" style="7" customWidth="1"/>
    <col min="15638" max="15638" width="6.85546875" style="7" customWidth="1"/>
    <col min="15639" max="15639" width="10.7109375" style="7" customWidth="1"/>
    <col min="15640" max="15640" width="9.140625" style="7"/>
    <col min="15641" max="15641" width="11.42578125" style="7" customWidth="1"/>
    <col min="15642" max="15642" width="9.140625" style="7"/>
    <col min="15643" max="15643" width="13.140625" style="7" customWidth="1"/>
    <col min="15644" max="15644" width="11.28515625" style="7" bestFit="1" customWidth="1"/>
    <col min="15645" max="15645" width="13.28515625" style="7" customWidth="1"/>
    <col min="15646" max="15646" width="12.85546875" style="7" customWidth="1"/>
    <col min="15647" max="15869" width="9.140625" style="7"/>
    <col min="15870" max="15870" width="6" style="7" customWidth="1"/>
    <col min="15871" max="15871" width="6.7109375" style="7" customWidth="1"/>
    <col min="15872" max="15872" width="24.5703125" style="7" customWidth="1"/>
    <col min="15873" max="15873" width="5.42578125" style="7" customWidth="1"/>
    <col min="15874" max="15877" width="0" style="7" hidden="1" customWidth="1"/>
    <col min="15878" max="15879" width="4.5703125" style="7" customWidth="1"/>
    <col min="15880" max="15880" width="7.5703125" style="7" customWidth="1"/>
    <col min="15881" max="15881" width="7.7109375" style="7" customWidth="1"/>
    <col min="15882" max="15882" width="6.5703125" style="7" customWidth="1"/>
    <col min="15883" max="15883" width="10.140625" style="7" customWidth="1"/>
    <col min="15884" max="15884" width="7.5703125" style="7" customWidth="1"/>
    <col min="15885" max="15885" width="11.5703125" style="7" customWidth="1"/>
    <col min="15886" max="15886" width="7.5703125" style="7" customWidth="1"/>
    <col min="15887" max="15887" width="11.5703125" style="7" customWidth="1"/>
    <col min="15888" max="15888" width="7.5703125" style="7" customWidth="1"/>
    <col min="15889" max="15889" width="11.7109375" style="7" customWidth="1"/>
    <col min="15890" max="15890" width="9.140625" style="7"/>
    <col min="15891" max="15891" width="13.28515625" style="7" customWidth="1"/>
    <col min="15892" max="15892" width="6.85546875" style="7" customWidth="1"/>
    <col min="15893" max="15893" width="10.7109375" style="7" customWidth="1"/>
    <col min="15894" max="15894" width="6.85546875" style="7" customWidth="1"/>
    <col min="15895" max="15895" width="10.7109375" style="7" customWidth="1"/>
    <col min="15896" max="15896" width="9.140625" style="7"/>
    <col min="15897" max="15897" width="11.42578125" style="7" customWidth="1"/>
    <col min="15898" max="15898" width="9.140625" style="7"/>
    <col min="15899" max="15899" width="13.140625" style="7" customWidth="1"/>
    <col min="15900" max="15900" width="11.28515625" style="7" bestFit="1" customWidth="1"/>
    <col min="15901" max="15901" width="13.28515625" style="7" customWidth="1"/>
    <col min="15902" max="15902" width="12.85546875" style="7" customWidth="1"/>
    <col min="15903" max="16125" width="9.140625" style="7"/>
    <col min="16126" max="16126" width="6" style="7" customWidth="1"/>
    <col min="16127" max="16127" width="6.7109375" style="7" customWidth="1"/>
    <col min="16128" max="16128" width="24.5703125" style="7" customWidth="1"/>
    <col min="16129" max="16129" width="5.42578125" style="7" customWidth="1"/>
    <col min="16130" max="16133" width="0" style="7" hidden="1" customWidth="1"/>
    <col min="16134" max="16135" width="4.5703125" style="7" customWidth="1"/>
    <col min="16136" max="16136" width="7.5703125" style="7" customWidth="1"/>
    <col min="16137" max="16137" width="7.7109375" style="7" customWidth="1"/>
    <col min="16138" max="16138" width="6.5703125" style="7" customWidth="1"/>
    <col min="16139" max="16139" width="10.140625" style="7" customWidth="1"/>
    <col min="16140" max="16140" width="7.5703125" style="7" customWidth="1"/>
    <col min="16141" max="16141" width="11.5703125" style="7" customWidth="1"/>
    <col min="16142" max="16142" width="7.5703125" style="7" customWidth="1"/>
    <col min="16143" max="16143" width="11.5703125" style="7" customWidth="1"/>
    <col min="16144" max="16144" width="7.5703125" style="7" customWidth="1"/>
    <col min="16145" max="16145" width="11.7109375" style="7" customWidth="1"/>
    <col min="16146" max="16146" width="9.140625" style="7"/>
    <col min="16147" max="16147" width="13.28515625" style="7" customWidth="1"/>
    <col min="16148" max="16148" width="6.85546875" style="7" customWidth="1"/>
    <col min="16149" max="16149" width="10.7109375" style="7" customWidth="1"/>
    <col min="16150" max="16150" width="6.85546875" style="7" customWidth="1"/>
    <col min="16151" max="16151" width="10.7109375" style="7" customWidth="1"/>
    <col min="16152" max="16152" width="9.140625" style="7"/>
    <col min="16153" max="16153" width="11.42578125" style="7" customWidth="1"/>
    <col min="16154" max="16154" width="9.140625" style="7"/>
    <col min="16155" max="16155" width="13.140625" style="7" customWidth="1"/>
    <col min="16156" max="16156" width="11.28515625" style="7" bestFit="1" customWidth="1"/>
    <col min="16157" max="16157" width="13.28515625" style="7" customWidth="1"/>
    <col min="16158" max="16158" width="12.85546875" style="7" customWidth="1"/>
    <col min="16159" max="16384" width="9.140625" style="7"/>
  </cols>
  <sheetData>
    <row r="1" spans="1:44" s="1" customFormat="1" ht="15.75" x14ac:dyDescent="0.25">
      <c r="C1" s="2" t="s">
        <v>0</v>
      </c>
      <c r="D1" s="3"/>
      <c r="E1" s="3"/>
      <c r="F1" s="3"/>
      <c r="K1" s="2"/>
      <c r="L1" s="2"/>
      <c r="M1" s="3"/>
      <c r="N1" s="3"/>
      <c r="S1" s="2"/>
      <c r="T1" s="2"/>
      <c r="AA1" s="2"/>
      <c r="AB1" s="2"/>
    </row>
    <row r="3" spans="1:44" ht="64.900000000000006" customHeight="1" x14ac:dyDescent="0.25">
      <c r="A3" s="4" t="s">
        <v>1</v>
      </c>
      <c r="B3" s="4"/>
      <c r="C3" s="4"/>
      <c r="D3" s="5"/>
      <c r="E3" s="5"/>
      <c r="F3" s="5"/>
      <c r="G3" s="5"/>
      <c r="H3" s="5"/>
      <c r="I3" s="5"/>
      <c r="J3" s="6" t="s">
        <v>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7"/>
      <c r="AA3" s="8"/>
      <c r="AB3" s="8"/>
      <c r="AC3" s="7"/>
      <c r="AD3" s="7"/>
      <c r="AE3" s="7"/>
      <c r="AF3" s="7"/>
      <c r="AG3" s="7"/>
    </row>
    <row r="5" spans="1:44" ht="18.75" customHeight="1" x14ac:dyDescent="0.25">
      <c r="A5" s="9" t="s">
        <v>3</v>
      </c>
      <c r="B5" s="9"/>
      <c r="C5" s="9"/>
      <c r="E5" s="11"/>
      <c r="F5" s="11"/>
      <c r="G5" s="12">
        <v>1400001010</v>
      </c>
      <c r="H5" s="13"/>
      <c r="I5" s="13"/>
      <c r="J5" s="13"/>
      <c r="K5" s="13"/>
      <c r="L5" s="13"/>
      <c r="O5" s="14"/>
      <c r="P5" s="15"/>
      <c r="Q5" s="15"/>
      <c r="R5" s="15"/>
      <c r="S5" s="15"/>
      <c r="T5" s="15"/>
      <c r="AF5" s="16" t="str">
        <f>'[1]131'!A112</f>
        <v xml:space="preserve"> «  21   »   ноября   2023 г.</v>
      </c>
    </row>
    <row r="6" spans="1:44" x14ac:dyDescent="0.25">
      <c r="A6" s="18" t="s">
        <v>4</v>
      </c>
    </row>
    <row r="7" spans="1:44" s="26" customFormat="1" ht="30" customHeight="1" x14ac:dyDescent="0.25">
      <c r="A7" s="19" t="s">
        <v>5</v>
      </c>
      <c r="B7" s="19" t="s">
        <v>6</v>
      </c>
      <c r="C7" s="19" t="s">
        <v>7</v>
      </c>
      <c r="D7" s="19" t="s">
        <v>8</v>
      </c>
      <c r="E7" s="20" t="s">
        <v>9</v>
      </c>
      <c r="F7" s="21"/>
      <c r="G7" s="20" t="s">
        <v>10</v>
      </c>
      <c r="H7" s="21"/>
      <c r="I7" s="20" t="s">
        <v>11</v>
      </c>
      <c r="J7" s="21"/>
      <c r="K7" s="22" t="s">
        <v>12</v>
      </c>
      <c r="L7" s="23" t="s">
        <v>13</v>
      </c>
      <c r="M7" s="24"/>
      <c r="N7" s="20" t="s">
        <v>14</v>
      </c>
      <c r="O7" s="21"/>
      <c r="P7" s="20" t="s">
        <v>15</v>
      </c>
      <c r="Q7" s="21"/>
      <c r="R7" s="25" t="s">
        <v>16</v>
      </c>
      <c r="S7" s="23" t="s">
        <v>17</v>
      </c>
      <c r="T7" s="24"/>
      <c r="U7" s="20" t="s">
        <v>18</v>
      </c>
      <c r="V7" s="21"/>
      <c r="W7" s="20" t="s">
        <v>19</v>
      </c>
      <c r="X7" s="21"/>
      <c r="Y7" s="25" t="s">
        <v>20</v>
      </c>
      <c r="Z7" s="20" t="s">
        <v>21</v>
      </c>
      <c r="AA7" s="21"/>
      <c r="AB7" s="23" t="s">
        <v>22</v>
      </c>
      <c r="AC7" s="24"/>
      <c r="AD7" s="20" t="s">
        <v>23</v>
      </c>
      <c r="AE7" s="21"/>
      <c r="AF7" s="25" t="s">
        <v>24</v>
      </c>
      <c r="AG7" s="25" t="s">
        <v>25</v>
      </c>
      <c r="AI7" s="26" t="s">
        <v>25</v>
      </c>
    </row>
    <row r="8" spans="1:44" ht="24.75" customHeight="1" x14ac:dyDescent="0.25">
      <c r="A8" s="19"/>
      <c r="B8" s="19"/>
      <c r="C8" s="19"/>
      <c r="D8" s="19"/>
      <c r="E8" s="27" t="s">
        <v>26</v>
      </c>
      <c r="F8" s="27" t="s">
        <v>27</v>
      </c>
      <c r="G8" s="27" t="s">
        <v>26</v>
      </c>
      <c r="H8" s="27" t="s">
        <v>27</v>
      </c>
      <c r="I8" s="27" t="s">
        <v>26</v>
      </c>
      <c r="J8" s="27" t="s">
        <v>27</v>
      </c>
      <c r="K8" s="28"/>
      <c r="L8" s="28" t="s">
        <v>26</v>
      </c>
      <c r="M8" s="27" t="s">
        <v>27</v>
      </c>
      <c r="N8" s="27" t="s">
        <v>26</v>
      </c>
      <c r="O8" s="27" t="s">
        <v>27</v>
      </c>
      <c r="P8" s="27" t="s">
        <v>26</v>
      </c>
      <c r="Q8" s="27" t="s">
        <v>27</v>
      </c>
      <c r="R8" s="27"/>
      <c r="S8" s="28" t="s">
        <v>26</v>
      </c>
      <c r="T8" s="28" t="s">
        <v>27</v>
      </c>
      <c r="U8" s="27" t="s">
        <v>26</v>
      </c>
      <c r="V8" s="27" t="s">
        <v>27</v>
      </c>
      <c r="W8" s="27" t="s">
        <v>26</v>
      </c>
      <c r="X8" s="27" t="s">
        <v>27</v>
      </c>
      <c r="Y8" s="27"/>
      <c r="Z8" s="27" t="s">
        <v>26</v>
      </c>
      <c r="AA8" s="28" t="s">
        <v>27</v>
      </c>
      <c r="AB8" s="28" t="s">
        <v>26</v>
      </c>
      <c r="AC8" s="27" t="s">
        <v>27</v>
      </c>
      <c r="AD8" s="27" t="s">
        <v>26</v>
      </c>
      <c r="AE8" s="27" t="s">
        <v>27</v>
      </c>
      <c r="AF8" s="27"/>
      <c r="AG8" s="27"/>
      <c r="AH8" s="7" t="s">
        <v>28</v>
      </c>
    </row>
    <row r="9" spans="1:44" x14ac:dyDescent="0.25">
      <c r="A9" s="29">
        <v>1</v>
      </c>
      <c r="B9" s="29">
        <v>2</v>
      </c>
      <c r="C9" s="30">
        <v>3</v>
      </c>
      <c r="D9" s="29">
        <v>4</v>
      </c>
      <c r="E9" s="30">
        <v>5</v>
      </c>
      <c r="F9" s="29">
        <v>6</v>
      </c>
      <c r="G9" s="30">
        <v>7</v>
      </c>
      <c r="H9" s="29">
        <v>8</v>
      </c>
      <c r="I9" s="30">
        <v>9</v>
      </c>
      <c r="J9" s="29">
        <v>10</v>
      </c>
      <c r="K9" s="31">
        <v>11</v>
      </c>
      <c r="L9" s="31">
        <v>12</v>
      </c>
      <c r="M9" s="30">
        <v>5</v>
      </c>
      <c r="N9" s="29">
        <v>6</v>
      </c>
      <c r="O9" s="30">
        <v>7</v>
      </c>
      <c r="P9" s="29">
        <v>8</v>
      </c>
      <c r="Q9" s="30">
        <v>9</v>
      </c>
      <c r="R9" s="29">
        <v>10</v>
      </c>
      <c r="S9" s="31">
        <v>11</v>
      </c>
      <c r="T9" s="31">
        <v>12</v>
      </c>
      <c r="U9" s="29">
        <v>13</v>
      </c>
      <c r="V9" s="29">
        <v>14</v>
      </c>
      <c r="W9" s="29">
        <v>15</v>
      </c>
      <c r="X9" s="29">
        <v>16</v>
      </c>
      <c r="Y9" s="29">
        <v>17</v>
      </c>
      <c r="Z9" s="29">
        <v>18</v>
      </c>
      <c r="AA9" s="29">
        <v>19</v>
      </c>
      <c r="AB9" s="29">
        <v>20</v>
      </c>
      <c r="AC9" s="29">
        <v>21</v>
      </c>
      <c r="AD9" s="29">
        <v>22</v>
      </c>
      <c r="AE9" s="29">
        <v>23</v>
      </c>
      <c r="AF9" s="29">
        <v>24</v>
      </c>
      <c r="AG9" s="29"/>
      <c r="AM9" s="7" t="s">
        <v>9</v>
      </c>
      <c r="AN9" s="7" t="s">
        <v>10</v>
      </c>
      <c r="AP9" s="32">
        <v>221</v>
      </c>
      <c r="AQ9" s="33"/>
      <c r="AR9" s="34">
        <f>AG13</f>
        <v>5832</v>
      </c>
    </row>
    <row r="10" spans="1:44" s="8" customFormat="1" x14ac:dyDescent="0.25">
      <c r="A10" s="35">
        <v>111</v>
      </c>
      <c r="B10" s="35">
        <v>211</v>
      </c>
      <c r="C10" s="36" t="s">
        <v>29</v>
      </c>
      <c r="D10" s="28" t="s">
        <v>30</v>
      </c>
      <c r="E10" s="37">
        <v>0</v>
      </c>
      <c r="F10" s="37">
        <f>1011006-272037.31</f>
        <v>738968.69</v>
      </c>
      <c r="G10" s="38">
        <v>0</v>
      </c>
      <c r="H10" s="39">
        <f>1011006-264713.63</f>
        <v>746292.37</v>
      </c>
      <c r="I10" s="40">
        <v>0</v>
      </c>
      <c r="J10" s="38">
        <v>1011006</v>
      </c>
      <c r="K10" s="37">
        <f t="shared" ref="K10:K15" si="0">J10+H10+F10</f>
        <v>2496267.06</v>
      </c>
      <c r="L10" s="38">
        <v>0</v>
      </c>
      <c r="M10" s="37">
        <f>1011006-0.77</f>
        <v>1011005.23</v>
      </c>
      <c r="N10" s="37">
        <v>0</v>
      </c>
      <c r="O10" s="38">
        <f>1011006+86660</f>
        <v>1097666</v>
      </c>
      <c r="P10" s="39">
        <v>0</v>
      </c>
      <c r="Q10" s="40">
        <f>1011006+533957.62</f>
        <v>1544963.62</v>
      </c>
      <c r="R10" s="37">
        <f t="shared" ref="R10:R15" si="1">Q10+O10+M10</f>
        <v>3653634.85</v>
      </c>
      <c r="S10" s="38">
        <v>0</v>
      </c>
      <c r="T10" s="38">
        <f>1011006-86660-4820.22-6392.04-639455.76</f>
        <v>273677.98</v>
      </c>
      <c r="U10" s="38">
        <v>0</v>
      </c>
      <c r="V10" s="38">
        <f>1011006+12801.02</f>
        <v>1023807.02</v>
      </c>
      <c r="W10" s="38">
        <v>0</v>
      </c>
      <c r="X10" s="38">
        <f>1011006+83512.74+469636.66</f>
        <v>1564155.4</v>
      </c>
      <c r="Y10" s="37">
        <f t="shared" ref="Y10:Y15" si="2">X10+V10+T10</f>
        <v>2861640.4</v>
      </c>
      <c r="Z10" s="38">
        <v>0</v>
      </c>
      <c r="AA10" s="38">
        <f>1011006-1624.2</f>
        <v>1009381.8</v>
      </c>
      <c r="AB10" s="38">
        <v>0</v>
      </c>
      <c r="AC10" s="38">
        <v>1011006</v>
      </c>
      <c r="AD10" s="38">
        <v>0</v>
      </c>
      <c r="AE10" s="38">
        <f>1011001-533957.62</f>
        <v>477043.38</v>
      </c>
      <c r="AF10" s="37">
        <f>AE10+AC10+AA10</f>
        <v>2497431.1799999997</v>
      </c>
      <c r="AG10" s="38">
        <f>AF10+Y10+R10+K10</f>
        <v>11508973.49</v>
      </c>
      <c r="AH10" s="41">
        <f>F10+H10+J10+M10+O10+Q10+T10+V10+X10</f>
        <v>9011542.3100000005</v>
      </c>
      <c r="AI10" s="8">
        <v>11508973.49</v>
      </c>
      <c r="AJ10" s="41">
        <f>AG10-AI10</f>
        <v>0</v>
      </c>
      <c r="AK10" s="41">
        <f>AG10-AI10-AH10</f>
        <v>-9011542.3100000005</v>
      </c>
      <c r="AM10" s="41">
        <f>F10</f>
        <v>738968.69</v>
      </c>
      <c r="AN10" s="8">
        <f>H10</f>
        <v>746292.37</v>
      </c>
      <c r="AP10" s="32">
        <v>223</v>
      </c>
      <c r="AQ10" s="33"/>
      <c r="AR10" s="42">
        <f>AG16</f>
        <v>59054.71</v>
      </c>
    </row>
    <row r="11" spans="1:44" s="8" customFormat="1" ht="16.5" customHeight="1" x14ac:dyDescent="0.25">
      <c r="A11" s="35"/>
      <c r="B11" s="35">
        <v>266</v>
      </c>
      <c r="C11" s="36" t="s">
        <v>31</v>
      </c>
      <c r="D11" s="28"/>
      <c r="E11" s="37"/>
      <c r="F11" s="37"/>
      <c r="G11" s="38"/>
      <c r="H11" s="39"/>
      <c r="I11" s="40"/>
      <c r="J11" s="38"/>
      <c r="K11" s="37">
        <f>J11+H11+F11</f>
        <v>0</v>
      </c>
      <c r="L11" s="38"/>
      <c r="M11" s="37"/>
      <c r="N11" s="37"/>
      <c r="O11" s="38"/>
      <c r="P11" s="39"/>
      <c r="Q11" s="40">
        <v>4820.22</v>
      </c>
      <c r="R11" s="37">
        <f>Q11+O11+M11</f>
        <v>4820.22</v>
      </c>
      <c r="S11" s="38"/>
      <c r="T11" s="38">
        <v>6392.04</v>
      </c>
      <c r="U11" s="38"/>
      <c r="V11" s="38"/>
      <c r="W11" s="38"/>
      <c r="X11" s="38"/>
      <c r="Y11" s="37">
        <f>X11+V11+T11</f>
        <v>6392.04</v>
      </c>
      <c r="Z11" s="38"/>
      <c r="AA11" s="38">
        <v>1624.2</v>
      </c>
      <c r="AB11" s="38"/>
      <c r="AC11" s="38"/>
      <c r="AD11" s="38"/>
      <c r="AE11" s="38"/>
      <c r="AF11" s="37">
        <f>AE11+AC11+AA11</f>
        <v>1624.2</v>
      </c>
      <c r="AG11" s="38">
        <f>AF11+Y11+R11+K11</f>
        <v>12836.46</v>
      </c>
      <c r="AH11" s="41">
        <f>F11+H11+J11+M11+O11+Q11+T11+V11+X11</f>
        <v>11212.26</v>
      </c>
      <c r="AI11" s="8">
        <v>12836.46</v>
      </c>
      <c r="AJ11" s="41">
        <f t="shared" ref="AJ11:AJ73" si="3">AG11-AI11</f>
        <v>0</v>
      </c>
      <c r="AK11" s="41"/>
      <c r="AM11" s="41"/>
      <c r="AP11" s="32"/>
      <c r="AQ11" s="33"/>
      <c r="AR11" s="42"/>
    </row>
    <row r="12" spans="1:44" s="8" customFormat="1" ht="20.25" customHeight="1" x14ac:dyDescent="0.25">
      <c r="A12" s="35">
        <v>119</v>
      </c>
      <c r="B12" s="35">
        <v>213</v>
      </c>
      <c r="C12" s="36" t="s">
        <v>32</v>
      </c>
      <c r="D12" s="28" t="s">
        <v>30</v>
      </c>
      <c r="E12" s="37">
        <v>0</v>
      </c>
      <c r="F12" s="37">
        <f>305324-79817.7</f>
        <v>225506.3</v>
      </c>
      <c r="G12" s="38">
        <v>0</v>
      </c>
      <c r="H12" s="39">
        <f>305324-79663.9</f>
        <v>225660.1</v>
      </c>
      <c r="I12" s="38">
        <v>0</v>
      </c>
      <c r="J12" s="38">
        <v>305324</v>
      </c>
      <c r="K12" s="37">
        <f t="shared" si="0"/>
        <v>756490.39999999991</v>
      </c>
      <c r="L12" s="38">
        <v>0</v>
      </c>
      <c r="M12" s="37">
        <v>305324</v>
      </c>
      <c r="N12" s="37">
        <v>0</v>
      </c>
      <c r="O12" s="38">
        <f>305324+28494</f>
        <v>333818</v>
      </c>
      <c r="P12" s="39">
        <v>0</v>
      </c>
      <c r="Q12" s="38">
        <f>305324+161254.8</f>
        <v>466578.8</v>
      </c>
      <c r="R12" s="37">
        <f t="shared" si="1"/>
        <v>1105720.8</v>
      </c>
      <c r="S12" s="38">
        <v>0</v>
      </c>
      <c r="T12" s="38">
        <f>305324-28494-197565.57</f>
        <v>79264.429999999993</v>
      </c>
      <c r="U12" s="38">
        <v>0</v>
      </c>
      <c r="V12" s="38">
        <f>305324+7251.83</f>
        <v>312575.83</v>
      </c>
      <c r="W12" s="38">
        <v>0</v>
      </c>
      <c r="X12" s="38">
        <f>305323+25221.68+141830.29</f>
        <v>472374.97</v>
      </c>
      <c r="Y12" s="37">
        <f t="shared" si="2"/>
        <v>864215.23</v>
      </c>
      <c r="Z12" s="38">
        <v>0</v>
      </c>
      <c r="AA12" s="38">
        <v>305324</v>
      </c>
      <c r="AB12" s="38">
        <v>0</v>
      </c>
      <c r="AC12" s="38">
        <v>305324</v>
      </c>
      <c r="AD12" s="38">
        <v>0</v>
      </c>
      <c r="AE12" s="38">
        <f>305322-161254.8</f>
        <v>144067.20000000001</v>
      </c>
      <c r="AF12" s="37">
        <f>AE12+AC12+AA12</f>
        <v>754715.2</v>
      </c>
      <c r="AG12" s="38">
        <f>AF12+Y12+R12+K12</f>
        <v>3481141.63</v>
      </c>
      <c r="AH12" s="41">
        <f>F12+H12+J12+M12+O12+Q12+T12+V12+X12</f>
        <v>2726426.4299999997</v>
      </c>
      <c r="AI12" s="8">
        <v>3481141.63</v>
      </c>
      <c r="AJ12" s="41">
        <f t="shared" si="3"/>
        <v>0</v>
      </c>
      <c r="AK12" s="41">
        <f t="shared" ref="AK12:AK73" si="4">AG12-AI12-AH12</f>
        <v>-2726426.4299999997</v>
      </c>
      <c r="AM12" s="41">
        <f>F12</f>
        <v>225506.3</v>
      </c>
      <c r="AN12" s="8">
        <f>H12</f>
        <v>225660.1</v>
      </c>
      <c r="AP12" s="32">
        <v>225</v>
      </c>
      <c r="AQ12" s="33">
        <f>SUM(AQ13:AQ19)</f>
        <v>0</v>
      </c>
      <c r="AR12" s="43">
        <f>SUM(AR13:AR19)</f>
        <v>80571.44</v>
      </c>
    </row>
    <row r="13" spans="1:44" s="8" customFormat="1" ht="17.25" customHeight="1" x14ac:dyDescent="0.25">
      <c r="A13" s="35">
        <v>244</v>
      </c>
      <c r="B13" s="35">
        <v>221</v>
      </c>
      <c r="C13" s="36" t="s">
        <v>33</v>
      </c>
      <c r="D13" s="28"/>
      <c r="E13" s="37">
        <f>E14+E15</f>
        <v>0</v>
      </c>
      <c r="F13" s="37">
        <f t="shared" ref="F13:AG13" si="5">F14+F15</f>
        <v>0</v>
      </c>
      <c r="G13" s="37">
        <f t="shared" si="5"/>
        <v>0</v>
      </c>
      <c r="H13" s="37">
        <f t="shared" si="5"/>
        <v>0</v>
      </c>
      <c r="I13" s="37">
        <f t="shared" si="5"/>
        <v>0</v>
      </c>
      <c r="J13" s="37">
        <f t="shared" si="5"/>
        <v>5832</v>
      </c>
      <c r="K13" s="37">
        <f t="shared" si="5"/>
        <v>5832</v>
      </c>
      <c r="L13" s="37">
        <f t="shared" si="5"/>
        <v>0</v>
      </c>
      <c r="M13" s="37">
        <f t="shared" si="5"/>
        <v>0</v>
      </c>
      <c r="N13" s="37">
        <f t="shared" si="5"/>
        <v>0</v>
      </c>
      <c r="O13" s="37">
        <f t="shared" si="5"/>
        <v>0</v>
      </c>
      <c r="P13" s="37">
        <f t="shared" si="5"/>
        <v>0</v>
      </c>
      <c r="Q13" s="37">
        <f t="shared" si="5"/>
        <v>0</v>
      </c>
      <c r="R13" s="37">
        <f t="shared" si="5"/>
        <v>0</v>
      </c>
      <c r="S13" s="37">
        <f t="shared" si="5"/>
        <v>0</v>
      </c>
      <c r="T13" s="37">
        <f t="shared" si="5"/>
        <v>0</v>
      </c>
      <c r="U13" s="37">
        <f t="shared" si="5"/>
        <v>0</v>
      </c>
      <c r="V13" s="37">
        <f t="shared" si="5"/>
        <v>0</v>
      </c>
      <c r="W13" s="37">
        <f t="shared" si="5"/>
        <v>0</v>
      </c>
      <c r="X13" s="37">
        <f t="shared" si="5"/>
        <v>0</v>
      </c>
      <c r="Y13" s="37">
        <f t="shared" si="5"/>
        <v>0</v>
      </c>
      <c r="Z13" s="37">
        <f t="shared" si="5"/>
        <v>0</v>
      </c>
      <c r="AA13" s="37">
        <f t="shared" si="5"/>
        <v>0</v>
      </c>
      <c r="AB13" s="37">
        <f t="shared" si="5"/>
        <v>0</v>
      </c>
      <c r="AC13" s="37">
        <f t="shared" si="5"/>
        <v>0</v>
      </c>
      <c r="AD13" s="37">
        <f t="shared" si="5"/>
        <v>0</v>
      </c>
      <c r="AE13" s="37">
        <f t="shared" si="5"/>
        <v>0</v>
      </c>
      <c r="AF13" s="37">
        <f t="shared" si="5"/>
        <v>0</v>
      </c>
      <c r="AG13" s="37">
        <f t="shared" si="5"/>
        <v>5832</v>
      </c>
      <c r="AH13" s="41">
        <f t="shared" ref="AH13:AH73" si="6">F13+H13+J13+M13</f>
        <v>5832</v>
      </c>
      <c r="AI13" s="8">
        <v>37300</v>
      </c>
      <c r="AJ13" s="41">
        <f t="shared" si="3"/>
        <v>-31468</v>
      </c>
      <c r="AK13" s="41"/>
      <c r="AM13" s="41"/>
      <c r="AP13" s="44" t="s">
        <v>34</v>
      </c>
      <c r="AQ13" s="33"/>
      <c r="AR13" s="34">
        <f>AG20</f>
        <v>10000</v>
      </c>
    </row>
    <row r="14" spans="1:44" s="8" customFormat="1" ht="17.25" customHeight="1" x14ac:dyDescent="0.25">
      <c r="A14" s="35"/>
      <c r="B14" s="35"/>
      <c r="C14" s="45" t="s">
        <v>35</v>
      </c>
      <c r="D14" s="28"/>
      <c r="E14" s="37"/>
      <c r="F14" s="37"/>
      <c r="G14" s="38"/>
      <c r="H14" s="35"/>
      <c r="I14" s="38">
        <v>0</v>
      </c>
      <c r="J14" s="38">
        <f>2900+5400+2900-5368</f>
        <v>5832</v>
      </c>
      <c r="K14" s="37">
        <f t="shared" si="0"/>
        <v>5832</v>
      </c>
      <c r="L14" s="38">
        <v>0</v>
      </c>
      <c r="M14" s="37">
        <f>2900-2900</f>
        <v>0</v>
      </c>
      <c r="N14" s="37">
        <v>0</v>
      </c>
      <c r="O14" s="38">
        <f>2900-2900</f>
        <v>0</v>
      </c>
      <c r="P14" s="35">
        <v>0</v>
      </c>
      <c r="Q14" s="38">
        <f>2900-2900</f>
        <v>0</v>
      </c>
      <c r="R14" s="37">
        <f t="shared" si="1"/>
        <v>0</v>
      </c>
      <c r="S14" s="38">
        <v>0</v>
      </c>
      <c r="T14" s="38">
        <f>2900-2900</f>
        <v>0</v>
      </c>
      <c r="U14" s="38">
        <v>0</v>
      </c>
      <c r="V14" s="38">
        <f>2900-2900</f>
        <v>0</v>
      </c>
      <c r="W14" s="38">
        <v>0</v>
      </c>
      <c r="X14" s="38">
        <f>2900-2900</f>
        <v>0</v>
      </c>
      <c r="Y14" s="37">
        <f t="shared" si="2"/>
        <v>0</v>
      </c>
      <c r="Z14" s="38">
        <v>0</v>
      </c>
      <c r="AA14" s="38">
        <f>2900-2900</f>
        <v>0</v>
      </c>
      <c r="AB14" s="38">
        <v>0</v>
      </c>
      <c r="AC14" s="38">
        <f>2900-2900</f>
        <v>0</v>
      </c>
      <c r="AD14" s="38">
        <v>0</v>
      </c>
      <c r="AE14" s="38">
        <f>2900-2900</f>
        <v>0</v>
      </c>
      <c r="AF14" s="37">
        <f>AE14+AC14+AA14</f>
        <v>0</v>
      </c>
      <c r="AG14" s="38">
        <f>AF14+Y14+R14+K14</f>
        <v>5832</v>
      </c>
      <c r="AH14" s="41">
        <f t="shared" si="6"/>
        <v>5832</v>
      </c>
      <c r="AI14" s="8">
        <v>37300</v>
      </c>
      <c r="AJ14" s="41">
        <f t="shared" si="3"/>
        <v>-31468</v>
      </c>
      <c r="AK14" s="41">
        <f t="shared" si="4"/>
        <v>-37300</v>
      </c>
      <c r="AP14" s="44" t="s">
        <v>36</v>
      </c>
      <c r="AQ14" s="33"/>
      <c r="AR14" s="34">
        <f>AG21</f>
        <v>0</v>
      </c>
    </row>
    <row r="15" spans="1:44" s="8" customFormat="1" ht="18" customHeight="1" x14ac:dyDescent="0.25">
      <c r="A15" s="35"/>
      <c r="B15" s="35"/>
      <c r="C15" s="46" t="s">
        <v>37</v>
      </c>
      <c r="D15" s="28"/>
      <c r="E15" s="37"/>
      <c r="F15" s="37"/>
      <c r="G15" s="38"/>
      <c r="H15" s="35"/>
      <c r="I15" s="38"/>
      <c r="J15" s="38"/>
      <c r="K15" s="37">
        <f t="shared" si="0"/>
        <v>0</v>
      </c>
      <c r="L15" s="38"/>
      <c r="M15" s="37"/>
      <c r="N15" s="37"/>
      <c r="O15" s="38"/>
      <c r="P15" s="35"/>
      <c r="Q15" s="38"/>
      <c r="R15" s="37">
        <f t="shared" si="1"/>
        <v>0</v>
      </c>
      <c r="S15" s="38"/>
      <c r="T15" s="38"/>
      <c r="U15" s="38"/>
      <c r="V15" s="38"/>
      <c r="W15" s="38"/>
      <c r="X15" s="38"/>
      <c r="Y15" s="37">
        <f t="shared" si="2"/>
        <v>0</v>
      </c>
      <c r="Z15" s="38"/>
      <c r="AA15" s="38"/>
      <c r="AB15" s="38"/>
      <c r="AC15" s="38"/>
      <c r="AD15" s="38"/>
      <c r="AE15" s="38"/>
      <c r="AF15" s="37">
        <f>AE15+AC15+AA15</f>
        <v>0</v>
      </c>
      <c r="AG15" s="38">
        <f>AF15+Y15+R15+K15</f>
        <v>0</v>
      </c>
      <c r="AH15" s="41">
        <f t="shared" si="6"/>
        <v>0</v>
      </c>
      <c r="AI15" s="8">
        <v>0</v>
      </c>
      <c r="AJ15" s="41">
        <f t="shared" si="3"/>
        <v>0</v>
      </c>
      <c r="AK15" s="41"/>
      <c r="AP15" s="47" t="s">
        <v>38</v>
      </c>
      <c r="AQ15" s="33"/>
      <c r="AR15" s="34">
        <f>AG22</f>
        <v>0</v>
      </c>
    </row>
    <row r="16" spans="1:44" s="8" customFormat="1" x14ac:dyDescent="0.25">
      <c r="A16" s="35">
        <v>244</v>
      </c>
      <c r="B16" s="35">
        <v>223</v>
      </c>
      <c r="C16" s="36" t="s">
        <v>39</v>
      </c>
      <c r="D16" s="28" t="s">
        <v>40</v>
      </c>
      <c r="E16" s="37">
        <f>E17+E18</f>
        <v>80.010000000000005</v>
      </c>
      <c r="F16" s="37">
        <f t="shared" ref="F16:J16" si="7">F17+F18</f>
        <v>3775</v>
      </c>
      <c r="G16" s="37">
        <f t="shared" si="7"/>
        <v>77</v>
      </c>
      <c r="H16" s="37">
        <f t="shared" si="7"/>
        <v>3633</v>
      </c>
      <c r="I16" s="37">
        <f t="shared" si="7"/>
        <v>65</v>
      </c>
      <c r="J16" s="37">
        <f t="shared" si="7"/>
        <v>3067</v>
      </c>
      <c r="K16" s="37">
        <f>K17+K18</f>
        <v>10475</v>
      </c>
      <c r="L16" s="37">
        <f>L17+L18</f>
        <v>593.64</v>
      </c>
      <c r="M16" s="37">
        <f t="shared" ref="M16:Q16" si="8">M17+M18</f>
        <v>28010.129999999997</v>
      </c>
      <c r="N16" s="37">
        <f t="shared" si="8"/>
        <v>29.61</v>
      </c>
      <c r="O16" s="37">
        <f t="shared" si="8"/>
        <v>1397</v>
      </c>
      <c r="P16" s="37">
        <f t="shared" si="8"/>
        <v>31.62</v>
      </c>
      <c r="Q16" s="37">
        <f t="shared" si="8"/>
        <v>1492</v>
      </c>
      <c r="R16" s="37">
        <f>R17+R18</f>
        <v>30899.129999999997</v>
      </c>
      <c r="S16" s="37">
        <f>S17+S18</f>
        <v>26.62</v>
      </c>
      <c r="T16" s="37">
        <f t="shared" ref="T16:X16" si="9">T17+T18</f>
        <v>1256</v>
      </c>
      <c r="U16" s="37">
        <f t="shared" si="9"/>
        <v>21.62</v>
      </c>
      <c r="V16" s="37">
        <f t="shared" si="9"/>
        <v>1020</v>
      </c>
      <c r="W16" s="37">
        <f t="shared" si="9"/>
        <v>34.61</v>
      </c>
      <c r="X16" s="37">
        <f t="shared" si="9"/>
        <v>1633</v>
      </c>
      <c r="Y16" s="37">
        <f>Y17+Y18</f>
        <v>3909</v>
      </c>
      <c r="Z16" s="37">
        <f>Z17+Z18</f>
        <v>219.64</v>
      </c>
      <c r="AA16" s="37">
        <f t="shared" ref="AA16:AE16" si="10">AA17+AA18</f>
        <v>10363.58</v>
      </c>
      <c r="AB16" s="37">
        <f t="shared" si="10"/>
        <v>37.619999999999997</v>
      </c>
      <c r="AC16" s="37">
        <f t="shared" si="10"/>
        <v>1775</v>
      </c>
      <c r="AD16" s="37">
        <f t="shared" si="10"/>
        <v>34.61</v>
      </c>
      <c r="AE16" s="37">
        <f t="shared" si="10"/>
        <v>1633</v>
      </c>
      <c r="AF16" s="37">
        <f>AF17+AF18</f>
        <v>13771.58</v>
      </c>
      <c r="AG16" s="38">
        <f>AF16+Y16+R16+K16</f>
        <v>59054.71</v>
      </c>
      <c r="AH16" s="41">
        <f t="shared" si="6"/>
        <v>38485.129999999997</v>
      </c>
      <c r="AI16" s="8">
        <v>59054.71</v>
      </c>
      <c r="AJ16" s="41">
        <f t="shared" si="3"/>
        <v>0</v>
      </c>
      <c r="AK16" s="41">
        <f t="shared" si="4"/>
        <v>-38485.129999999997</v>
      </c>
      <c r="AP16" s="47" t="s">
        <v>41</v>
      </c>
      <c r="AQ16" s="33"/>
      <c r="AR16" s="34">
        <f>AG23</f>
        <v>0</v>
      </c>
    </row>
    <row r="17" spans="1:44" ht="15.75" customHeight="1" x14ac:dyDescent="0.25">
      <c r="A17" s="48"/>
      <c r="B17" s="48"/>
      <c r="C17" s="49" t="s">
        <v>42</v>
      </c>
      <c r="D17" s="27"/>
      <c r="E17" s="50">
        <f>ROUND(F17/47.184,2)</f>
        <v>80.010000000000005</v>
      </c>
      <c r="F17" s="50">
        <v>3775</v>
      </c>
      <c r="G17" s="50">
        <f>ROUND(H17/47.184,2)</f>
        <v>77</v>
      </c>
      <c r="H17" s="48">
        <v>3633</v>
      </c>
      <c r="I17" s="50">
        <f>ROUND(J17/47.184,2)</f>
        <v>65</v>
      </c>
      <c r="J17" s="51">
        <v>3067</v>
      </c>
      <c r="K17" s="37">
        <f>J17+H17+F17</f>
        <v>10475</v>
      </c>
      <c r="L17" s="50">
        <f>ROUND(M17/47.184,2)</f>
        <v>593.64</v>
      </c>
      <c r="M17" s="50">
        <f>3586+40132-15707.87</f>
        <v>28010.129999999997</v>
      </c>
      <c r="N17" s="50">
        <f>ROUND(O17/47.184,2)</f>
        <v>29.61</v>
      </c>
      <c r="O17" s="51">
        <f>3397-2000</f>
        <v>1397</v>
      </c>
      <c r="P17" s="50">
        <f>ROUND(Q17/47.184,2)</f>
        <v>31.62</v>
      </c>
      <c r="Q17" s="51">
        <f>3492-2000</f>
        <v>1492</v>
      </c>
      <c r="R17" s="37">
        <f>Q17+O17+M17</f>
        <v>30899.129999999997</v>
      </c>
      <c r="S17" s="50">
        <f>ROUND(T17/47.184,2)</f>
        <v>26.62</v>
      </c>
      <c r="T17" s="38">
        <f>3256-2000</f>
        <v>1256</v>
      </c>
      <c r="U17" s="50">
        <f>ROUND(V17/47.184,2)</f>
        <v>21.62</v>
      </c>
      <c r="V17" s="51">
        <f>3020-2000</f>
        <v>1020</v>
      </c>
      <c r="W17" s="50">
        <f>ROUND(X17/47.184,2)</f>
        <v>34.61</v>
      </c>
      <c r="X17" s="51">
        <f>3633-2000</f>
        <v>1633</v>
      </c>
      <c r="Y17" s="37">
        <f>X17+V17+T17</f>
        <v>3909</v>
      </c>
      <c r="Z17" s="50">
        <f>ROUND(AA17/47.184,2)</f>
        <v>219.64</v>
      </c>
      <c r="AA17" s="38">
        <f>3775-2000+8588.58</f>
        <v>10363.58</v>
      </c>
      <c r="AB17" s="50">
        <f>ROUND(AC17/47.184,2)</f>
        <v>37.619999999999997</v>
      </c>
      <c r="AC17" s="51">
        <f>3775-2000</f>
        <v>1775</v>
      </c>
      <c r="AD17" s="50">
        <f>ROUND(AE17/47.184,2)</f>
        <v>34.61</v>
      </c>
      <c r="AE17" s="51">
        <f>3633-2000</f>
        <v>1633</v>
      </c>
      <c r="AF17" s="37">
        <f>AE17+AC17+AA17</f>
        <v>13771.58</v>
      </c>
      <c r="AG17" s="38">
        <f>AF17+Y17+R17+K17</f>
        <v>59054.71</v>
      </c>
      <c r="AH17" s="41">
        <f t="shared" si="6"/>
        <v>38485.129999999997</v>
      </c>
      <c r="AI17" s="7">
        <v>59054.71</v>
      </c>
      <c r="AJ17" s="41">
        <f t="shared" si="3"/>
        <v>0</v>
      </c>
      <c r="AK17" s="41">
        <f t="shared" si="4"/>
        <v>-38485.129999999997</v>
      </c>
      <c r="AP17" s="47" t="s">
        <v>43</v>
      </c>
      <c r="AQ17" s="33"/>
      <c r="AR17" s="34">
        <f>AG24</f>
        <v>48000</v>
      </c>
    </row>
    <row r="18" spans="1:44" ht="15.75" customHeight="1" x14ac:dyDescent="0.25">
      <c r="A18" s="48"/>
      <c r="B18" s="48"/>
      <c r="C18" s="49" t="s">
        <v>44</v>
      </c>
      <c r="D18" s="27"/>
      <c r="E18" s="50"/>
      <c r="F18" s="50"/>
      <c r="G18" s="50"/>
      <c r="H18" s="48"/>
      <c r="I18" s="50"/>
      <c r="J18" s="51"/>
      <c r="K18" s="37">
        <f>J18+H18+F18</f>
        <v>0</v>
      </c>
      <c r="L18" s="50"/>
      <c r="M18" s="50"/>
      <c r="N18" s="50"/>
      <c r="O18" s="51"/>
      <c r="P18" s="50"/>
      <c r="Q18" s="51"/>
      <c r="R18" s="37">
        <f>Q18+O18+M18</f>
        <v>0</v>
      </c>
      <c r="S18" s="50"/>
      <c r="T18" s="38"/>
      <c r="U18" s="50"/>
      <c r="V18" s="51"/>
      <c r="W18" s="50"/>
      <c r="X18" s="51"/>
      <c r="Y18" s="37">
        <f>X18+V18+T18</f>
        <v>0</v>
      </c>
      <c r="Z18" s="50"/>
      <c r="AA18" s="38"/>
      <c r="AB18" s="50"/>
      <c r="AC18" s="51"/>
      <c r="AD18" s="50"/>
      <c r="AE18" s="51"/>
      <c r="AF18" s="37">
        <f>AE18+AC18+AA18</f>
        <v>0</v>
      </c>
      <c r="AG18" s="38">
        <f>AF18+Y18+R18+K18</f>
        <v>0</v>
      </c>
      <c r="AH18" s="41"/>
      <c r="AI18" s="7">
        <v>0</v>
      </c>
      <c r="AJ18" s="41">
        <f t="shared" si="3"/>
        <v>0</v>
      </c>
      <c r="AK18" s="41"/>
      <c r="AP18" s="47"/>
      <c r="AQ18" s="33"/>
      <c r="AR18" s="34"/>
    </row>
    <row r="19" spans="1:44" s="8" customFormat="1" ht="17.25" customHeight="1" x14ac:dyDescent="0.25">
      <c r="A19" s="35">
        <v>244</v>
      </c>
      <c r="B19" s="35">
        <v>225</v>
      </c>
      <c r="C19" s="36" t="s">
        <v>45</v>
      </c>
      <c r="D19" s="28"/>
      <c r="E19" s="37">
        <f>SUM(E20:E27)</f>
        <v>0</v>
      </c>
      <c r="F19" s="37">
        <f t="shared" ref="F19:AD19" si="11">SUM(F20:F27)</f>
        <v>1254</v>
      </c>
      <c r="G19" s="37">
        <f t="shared" si="11"/>
        <v>98</v>
      </c>
      <c r="H19" s="37">
        <f t="shared" si="11"/>
        <v>9254</v>
      </c>
      <c r="I19" s="37">
        <f>SUM(I20:I27)</f>
        <v>49</v>
      </c>
      <c r="J19" s="37">
        <f t="shared" si="11"/>
        <v>25089.040000000001</v>
      </c>
      <c r="K19" s="37">
        <f>SUM(K20:K27)</f>
        <v>35597.040000000001</v>
      </c>
      <c r="L19" s="37">
        <f t="shared" si="11"/>
        <v>49</v>
      </c>
      <c r="M19" s="37">
        <f>SUM(M20:M27)</f>
        <v>5561.4400000000005</v>
      </c>
      <c r="N19" s="37">
        <f t="shared" si="11"/>
        <v>49</v>
      </c>
      <c r="O19" s="37">
        <f t="shared" si="11"/>
        <v>5254</v>
      </c>
      <c r="P19" s="37">
        <f t="shared" si="11"/>
        <v>49</v>
      </c>
      <c r="Q19" s="37">
        <f>SUM(Q20:Q27)</f>
        <v>5254</v>
      </c>
      <c r="R19" s="37">
        <f>SUM(R20:R27)</f>
        <v>16069.44</v>
      </c>
      <c r="S19" s="37">
        <f>SUM(S20:S27)</f>
        <v>49</v>
      </c>
      <c r="T19" s="37">
        <f t="shared" si="11"/>
        <v>5254</v>
      </c>
      <c r="U19" s="37">
        <f t="shared" si="11"/>
        <v>49</v>
      </c>
      <c r="V19" s="37">
        <f t="shared" si="11"/>
        <v>5254</v>
      </c>
      <c r="W19" s="37">
        <f t="shared" si="11"/>
        <v>49</v>
      </c>
      <c r="X19" s="37">
        <f t="shared" si="11"/>
        <v>5254</v>
      </c>
      <c r="Y19" s="37">
        <f>SUM(Y20:Y27)</f>
        <v>15762</v>
      </c>
      <c r="Z19" s="37">
        <f t="shared" si="11"/>
        <v>49</v>
      </c>
      <c r="AA19" s="37">
        <f>SUM(AA20:AA27)</f>
        <v>5254</v>
      </c>
      <c r="AB19" s="37">
        <f t="shared" si="11"/>
        <v>49</v>
      </c>
      <c r="AC19" s="37">
        <f t="shared" si="11"/>
        <v>5254</v>
      </c>
      <c r="AD19" s="37">
        <f t="shared" si="11"/>
        <v>49</v>
      </c>
      <c r="AE19" s="37">
        <f>SUM(AE20:AE27)</f>
        <v>5255</v>
      </c>
      <c r="AF19" s="37">
        <f>SUM(AF20:AF27)</f>
        <v>15763</v>
      </c>
      <c r="AG19" s="37">
        <f>SUM(AG20:AG27)</f>
        <v>83191.48</v>
      </c>
      <c r="AH19" s="41">
        <f t="shared" si="6"/>
        <v>41158.480000000003</v>
      </c>
      <c r="AI19" s="8">
        <v>83191.48</v>
      </c>
      <c r="AJ19" s="41">
        <f t="shared" si="3"/>
        <v>0</v>
      </c>
      <c r="AK19" s="41">
        <f t="shared" si="4"/>
        <v>-41158.480000000003</v>
      </c>
      <c r="AP19" s="47" t="s">
        <v>46</v>
      </c>
      <c r="AQ19" s="33"/>
      <c r="AR19" s="34">
        <f t="shared" ref="AR19" si="12">AG25</f>
        <v>22571.440000000002</v>
      </c>
    </row>
    <row r="20" spans="1:44" ht="15.75" customHeight="1" x14ac:dyDescent="0.25">
      <c r="A20" s="48"/>
      <c r="B20" s="48"/>
      <c r="C20" s="52" t="s">
        <v>34</v>
      </c>
      <c r="D20" s="27"/>
      <c r="E20" s="50"/>
      <c r="F20" s="50"/>
      <c r="G20" s="51"/>
      <c r="H20" s="48"/>
      <c r="I20" s="51">
        <v>0</v>
      </c>
      <c r="J20" s="51">
        <v>10000</v>
      </c>
      <c r="K20" s="37">
        <f>J20+H20+F20</f>
        <v>10000</v>
      </c>
      <c r="L20" s="38">
        <v>0</v>
      </c>
      <c r="M20" s="50">
        <v>0</v>
      </c>
      <c r="N20" s="50">
        <v>0</v>
      </c>
      <c r="O20" s="51">
        <v>0</v>
      </c>
      <c r="P20" s="48">
        <v>0</v>
      </c>
      <c r="Q20" s="51">
        <v>0</v>
      </c>
      <c r="R20" s="37">
        <f>Q20+O20+M20</f>
        <v>0</v>
      </c>
      <c r="S20" s="38">
        <v>0</v>
      </c>
      <c r="T20" s="38">
        <v>0</v>
      </c>
      <c r="U20" s="51">
        <v>0</v>
      </c>
      <c r="V20" s="51">
        <v>0</v>
      </c>
      <c r="W20" s="51">
        <v>0</v>
      </c>
      <c r="X20" s="51">
        <v>0</v>
      </c>
      <c r="Y20" s="37">
        <f>X20+V20+T20</f>
        <v>0</v>
      </c>
      <c r="Z20" s="51">
        <v>0</v>
      </c>
      <c r="AA20" s="38">
        <v>0</v>
      </c>
      <c r="AB20" s="38">
        <v>0</v>
      </c>
      <c r="AC20" s="51">
        <v>0</v>
      </c>
      <c r="AD20" s="51">
        <v>0</v>
      </c>
      <c r="AE20" s="51">
        <v>0</v>
      </c>
      <c r="AF20" s="37">
        <f>AE20+AC20+AA20</f>
        <v>0</v>
      </c>
      <c r="AG20" s="38">
        <f>AF20+Y20+R20+K20</f>
        <v>10000</v>
      </c>
      <c r="AH20" s="41">
        <f t="shared" si="6"/>
        <v>10000</v>
      </c>
      <c r="AI20" s="7">
        <v>10000</v>
      </c>
      <c r="AJ20" s="41">
        <f t="shared" si="3"/>
        <v>0</v>
      </c>
      <c r="AK20" s="41">
        <f t="shared" si="4"/>
        <v>-10000</v>
      </c>
      <c r="AP20" s="32">
        <v>226</v>
      </c>
      <c r="AQ20" s="33">
        <f>SUM(AQ21:AQ29)</f>
        <v>0</v>
      </c>
      <c r="AR20" s="33">
        <f>SUM(AR21:AR29)</f>
        <v>64538.47</v>
      </c>
    </row>
    <row r="21" spans="1:44" ht="15" customHeight="1" x14ac:dyDescent="0.25">
      <c r="A21" s="48"/>
      <c r="B21" s="48"/>
      <c r="C21" s="52" t="s">
        <v>36</v>
      </c>
      <c r="D21" s="27"/>
      <c r="E21" s="50"/>
      <c r="F21" s="50"/>
      <c r="G21" s="51"/>
      <c r="H21" s="48"/>
      <c r="I21" s="51">
        <v>0</v>
      </c>
      <c r="J21" s="51">
        <v>0</v>
      </c>
      <c r="K21" s="37">
        <f t="shared" ref="K21:K38" si="13">J21+H21+F21</f>
        <v>0</v>
      </c>
      <c r="L21" s="38">
        <v>0</v>
      </c>
      <c r="M21" s="50">
        <v>0</v>
      </c>
      <c r="N21" s="50">
        <v>0</v>
      </c>
      <c r="O21" s="51">
        <v>0</v>
      </c>
      <c r="P21" s="48">
        <v>0</v>
      </c>
      <c r="Q21" s="51">
        <v>0</v>
      </c>
      <c r="R21" s="37">
        <f t="shared" ref="R21:R50" si="14">Q21+O21+M21</f>
        <v>0</v>
      </c>
      <c r="S21" s="38">
        <v>0</v>
      </c>
      <c r="T21" s="38">
        <v>0</v>
      </c>
      <c r="U21" s="51">
        <v>0</v>
      </c>
      <c r="V21" s="51">
        <v>0</v>
      </c>
      <c r="W21" s="51">
        <v>0</v>
      </c>
      <c r="X21" s="51">
        <v>0</v>
      </c>
      <c r="Y21" s="37">
        <f t="shared" ref="Y21:Y50" si="15">X21+V21+T21</f>
        <v>0</v>
      </c>
      <c r="Z21" s="51">
        <v>0</v>
      </c>
      <c r="AA21" s="38">
        <v>0</v>
      </c>
      <c r="AB21" s="38">
        <v>0</v>
      </c>
      <c r="AC21" s="51">
        <v>0</v>
      </c>
      <c r="AD21" s="51">
        <v>0</v>
      </c>
      <c r="AE21" s="51">
        <v>0</v>
      </c>
      <c r="AF21" s="37">
        <f t="shared" ref="AF21:AF37" si="16">AE21+AC21+AA21</f>
        <v>0</v>
      </c>
      <c r="AG21" s="38">
        <f t="shared" ref="AG21:AG37" si="17">AF21+Y21+R21+K21</f>
        <v>0</v>
      </c>
      <c r="AH21" s="41">
        <f t="shared" si="6"/>
        <v>0</v>
      </c>
      <c r="AI21" s="7">
        <v>0</v>
      </c>
      <c r="AJ21" s="41">
        <f t="shared" si="3"/>
        <v>0</v>
      </c>
      <c r="AK21" s="41">
        <f t="shared" si="4"/>
        <v>0</v>
      </c>
      <c r="AP21" s="32" t="s">
        <v>47</v>
      </c>
      <c r="AQ21" s="33"/>
      <c r="AR21" s="53">
        <f>AG29</f>
        <v>50472.47</v>
      </c>
    </row>
    <row r="22" spans="1:44" ht="18" customHeight="1" x14ac:dyDescent="0.25">
      <c r="A22" s="48"/>
      <c r="B22" s="48"/>
      <c r="C22" s="49" t="s">
        <v>38</v>
      </c>
      <c r="D22" s="27"/>
      <c r="E22" s="50"/>
      <c r="F22" s="50"/>
      <c r="G22" s="51"/>
      <c r="H22" s="48"/>
      <c r="I22" s="51">
        <v>0</v>
      </c>
      <c r="J22" s="51">
        <v>0</v>
      </c>
      <c r="K22" s="37">
        <f t="shared" si="13"/>
        <v>0</v>
      </c>
      <c r="L22" s="38">
        <v>0</v>
      </c>
      <c r="M22" s="50">
        <v>0</v>
      </c>
      <c r="N22" s="50">
        <v>0</v>
      </c>
      <c r="O22" s="51">
        <v>0</v>
      </c>
      <c r="P22" s="48">
        <v>0</v>
      </c>
      <c r="Q22" s="51">
        <v>0</v>
      </c>
      <c r="R22" s="37">
        <f t="shared" si="14"/>
        <v>0</v>
      </c>
      <c r="S22" s="38">
        <v>0</v>
      </c>
      <c r="T22" s="38">
        <v>0</v>
      </c>
      <c r="U22" s="51">
        <v>0</v>
      </c>
      <c r="V22" s="51">
        <v>0</v>
      </c>
      <c r="W22" s="51">
        <v>0</v>
      </c>
      <c r="X22" s="51">
        <v>0</v>
      </c>
      <c r="Y22" s="37">
        <f t="shared" si="15"/>
        <v>0</v>
      </c>
      <c r="Z22" s="51">
        <v>0</v>
      </c>
      <c r="AA22" s="38">
        <v>0</v>
      </c>
      <c r="AB22" s="38">
        <v>0</v>
      </c>
      <c r="AC22" s="51">
        <v>0</v>
      </c>
      <c r="AD22" s="51">
        <v>0</v>
      </c>
      <c r="AE22" s="51">
        <v>0</v>
      </c>
      <c r="AF22" s="37">
        <f t="shared" si="16"/>
        <v>0</v>
      </c>
      <c r="AG22" s="38">
        <f t="shared" si="17"/>
        <v>0</v>
      </c>
      <c r="AH22" s="41">
        <f t="shared" si="6"/>
        <v>0</v>
      </c>
      <c r="AI22" s="7">
        <v>0</v>
      </c>
      <c r="AJ22" s="41">
        <f t="shared" si="3"/>
        <v>0</v>
      </c>
      <c r="AK22" s="41">
        <f t="shared" si="4"/>
        <v>0</v>
      </c>
      <c r="AP22" s="32" t="s">
        <v>48</v>
      </c>
      <c r="AQ22" s="33"/>
      <c r="AR22" s="53">
        <f>AG30</f>
        <v>0</v>
      </c>
    </row>
    <row r="23" spans="1:44" ht="15.75" customHeight="1" x14ac:dyDescent="0.25">
      <c r="A23" s="48"/>
      <c r="B23" s="48"/>
      <c r="C23" s="49" t="s">
        <v>41</v>
      </c>
      <c r="D23" s="27"/>
      <c r="E23" s="50"/>
      <c r="F23" s="50"/>
      <c r="G23" s="51"/>
      <c r="H23" s="48"/>
      <c r="I23" s="51">
        <v>0</v>
      </c>
      <c r="J23" s="51">
        <v>0</v>
      </c>
      <c r="K23" s="37">
        <f t="shared" si="13"/>
        <v>0</v>
      </c>
      <c r="L23" s="38">
        <v>0</v>
      </c>
      <c r="M23" s="50">
        <v>0</v>
      </c>
      <c r="N23" s="50">
        <v>0</v>
      </c>
      <c r="O23" s="51">
        <v>0</v>
      </c>
      <c r="P23" s="48">
        <v>0</v>
      </c>
      <c r="Q23" s="51">
        <v>0</v>
      </c>
      <c r="R23" s="37">
        <f t="shared" si="14"/>
        <v>0</v>
      </c>
      <c r="S23" s="38">
        <v>0</v>
      </c>
      <c r="T23" s="38">
        <v>0</v>
      </c>
      <c r="U23" s="51">
        <v>0</v>
      </c>
      <c r="V23" s="51">
        <v>0</v>
      </c>
      <c r="W23" s="51">
        <v>0</v>
      </c>
      <c r="X23" s="51">
        <v>0</v>
      </c>
      <c r="Y23" s="37">
        <f t="shared" si="15"/>
        <v>0</v>
      </c>
      <c r="Z23" s="51">
        <v>0</v>
      </c>
      <c r="AA23" s="38">
        <v>0</v>
      </c>
      <c r="AB23" s="38">
        <v>0</v>
      </c>
      <c r="AC23" s="51">
        <v>0</v>
      </c>
      <c r="AD23" s="51">
        <v>0</v>
      </c>
      <c r="AE23" s="51">
        <v>0</v>
      </c>
      <c r="AF23" s="37">
        <f t="shared" si="16"/>
        <v>0</v>
      </c>
      <c r="AG23" s="38">
        <f t="shared" si="17"/>
        <v>0</v>
      </c>
      <c r="AH23" s="41">
        <f t="shared" si="6"/>
        <v>0</v>
      </c>
      <c r="AI23" s="7">
        <v>0</v>
      </c>
      <c r="AJ23" s="41">
        <f t="shared" si="3"/>
        <v>0</v>
      </c>
      <c r="AK23" s="41">
        <f t="shared" si="4"/>
        <v>0</v>
      </c>
      <c r="AP23" s="32" t="s">
        <v>49</v>
      </c>
      <c r="AQ23" s="33"/>
      <c r="AR23" s="53">
        <f>AG31</f>
        <v>12966</v>
      </c>
    </row>
    <row r="24" spans="1:44" ht="15" customHeight="1" x14ac:dyDescent="0.25">
      <c r="A24" s="48"/>
      <c r="B24" s="48"/>
      <c r="C24" s="49" t="s">
        <v>43</v>
      </c>
      <c r="D24" s="27"/>
      <c r="E24" s="50"/>
      <c r="F24" s="50"/>
      <c r="G24" s="51">
        <f>49*2</f>
        <v>98</v>
      </c>
      <c r="H24" s="48">
        <v>8000</v>
      </c>
      <c r="I24" s="51">
        <v>49</v>
      </c>
      <c r="J24" s="51">
        <v>4000</v>
      </c>
      <c r="K24" s="37">
        <f t="shared" si="13"/>
        <v>12000</v>
      </c>
      <c r="L24" s="38">
        <v>49</v>
      </c>
      <c r="M24" s="50">
        <v>4000</v>
      </c>
      <c r="N24" s="50">
        <v>49</v>
      </c>
      <c r="O24" s="51">
        <v>4000</v>
      </c>
      <c r="P24" s="48">
        <v>49</v>
      </c>
      <c r="Q24" s="51">
        <v>4000</v>
      </c>
      <c r="R24" s="37">
        <f t="shared" si="14"/>
        <v>12000</v>
      </c>
      <c r="S24" s="38">
        <v>49</v>
      </c>
      <c r="T24" s="38">
        <v>4000</v>
      </c>
      <c r="U24" s="51">
        <v>49</v>
      </c>
      <c r="V24" s="51">
        <v>4000</v>
      </c>
      <c r="W24" s="51">
        <v>49</v>
      </c>
      <c r="X24" s="51">
        <v>4000</v>
      </c>
      <c r="Y24" s="37">
        <f t="shared" si="15"/>
        <v>12000</v>
      </c>
      <c r="Z24" s="51">
        <v>49</v>
      </c>
      <c r="AA24" s="38">
        <v>4000</v>
      </c>
      <c r="AB24" s="38">
        <v>49</v>
      </c>
      <c r="AC24" s="51">
        <v>4000</v>
      </c>
      <c r="AD24" s="51">
        <v>49</v>
      </c>
      <c r="AE24" s="51">
        <v>4000</v>
      </c>
      <c r="AF24" s="37">
        <f t="shared" si="16"/>
        <v>12000</v>
      </c>
      <c r="AG24" s="38">
        <f t="shared" si="17"/>
        <v>48000</v>
      </c>
      <c r="AH24" s="41">
        <f t="shared" si="6"/>
        <v>16000</v>
      </c>
      <c r="AI24" s="7">
        <v>48000</v>
      </c>
      <c r="AJ24" s="41">
        <f t="shared" si="3"/>
        <v>0</v>
      </c>
      <c r="AK24" s="41">
        <f t="shared" si="4"/>
        <v>-16000</v>
      </c>
      <c r="AP24" s="32" t="s">
        <v>50</v>
      </c>
      <c r="AQ24" s="33"/>
      <c r="AR24" s="53">
        <f>AG32</f>
        <v>0</v>
      </c>
    </row>
    <row r="25" spans="1:44" ht="12" customHeight="1" x14ac:dyDescent="0.25">
      <c r="A25" s="48"/>
      <c r="B25" s="48"/>
      <c r="C25" s="49" t="s">
        <v>46</v>
      </c>
      <c r="D25" s="27"/>
      <c r="E25" s="50">
        <v>0</v>
      </c>
      <c r="F25" s="50">
        <v>1254</v>
      </c>
      <c r="G25" s="51">
        <v>0</v>
      </c>
      <c r="H25" s="48">
        <v>1254</v>
      </c>
      <c r="I25" s="51">
        <v>0</v>
      </c>
      <c r="J25" s="51">
        <f>1254+7215</f>
        <v>8469</v>
      </c>
      <c r="K25" s="37">
        <f t="shared" si="13"/>
        <v>10977</v>
      </c>
      <c r="L25" s="38">
        <v>0</v>
      </c>
      <c r="M25" s="50">
        <f>1255+306.44</f>
        <v>1561.44</v>
      </c>
      <c r="N25" s="50">
        <v>0</v>
      </c>
      <c r="O25" s="51">
        <v>1254</v>
      </c>
      <c r="P25" s="48">
        <v>0</v>
      </c>
      <c r="Q25" s="51">
        <v>1254</v>
      </c>
      <c r="R25" s="37">
        <f t="shared" si="14"/>
        <v>4069.44</v>
      </c>
      <c r="S25" s="38">
        <v>0</v>
      </c>
      <c r="T25" s="38">
        <v>1254</v>
      </c>
      <c r="U25" s="51">
        <v>0</v>
      </c>
      <c r="V25" s="51">
        <v>1254</v>
      </c>
      <c r="W25" s="51">
        <v>0</v>
      </c>
      <c r="X25" s="51">
        <v>1254</v>
      </c>
      <c r="Y25" s="37">
        <f t="shared" si="15"/>
        <v>3762</v>
      </c>
      <c r="Z25" s="51">
        <v>0</v>
      </c>
      <c r="AA25" s="38">
        <v>1254</v>
      </c>
      <c r="AB25" s="38">
        <v>0</v>
      </c>
      <c r="AC25" s="51">
        <v>1254</v>
      </c>
      <c r="AD25" s="51">
        <v>0</v>
      </c>
      <c r="AE25" s="51">
        <v>1255</v>
      </c>
      <c r="AF25" s="37">
        <f t="shared" si="16"/>
        <v>3763</v>
      </c>
      <c r="AG25" s="38">
        <f t="shared" si="17"/>
        <v>22571.440000000002</v>
      </c>
      <c r="AH25" s="41">
        <f t="shared" si="6"/>
        <v>12538.44</v>
      </c>
      <c r="AI25" s="7">
        <v>22571.440000000002</v>
      </c>
      <c r="AJ25" s="41">
        <f t="shared" si="3"/>
        <v>0</v>
      </c>
      <c r="AK25" s="41">
        <f t="shared" si="4"/>
        <v>-12538.44</v>
      </c>
      <c r="AP25" s="32" t="s">
        <v>51</v>
      </c>
      <c r="AQ25" s="33"/>
      <c r="AR25" s="53">
        <f>AG33</f>
        <v>1100</v>
      </c>
    </row>
    <row r="26" spans="1:44" ht="12" customHeight="1" x14ac:dyDescent="0.25">
      <c r="A26" s="48"/>
      <c r="B26" s="48"/>
      <c r="C26" s="49" t="s">
        <v>52</v>
      </c>
      <c r="D26" s="27"/>
      <c r="E26" s="50"/>
      <c r="F26" s="50"/>
      <c r="G26" s="51"/>
      <c r="H26" s="48"/>
      <c r="I26" s="51"/>
      <c r="J26" s="51"/>
      <c r="K26" s="37">
        <f t="shared" si="13"/>
        <v>0</v>
      </c>
      <c r="L26" s="38"/>
      <c r="M26" s="50"/>
      <c r="N26" s="50"/>
      <c r="O26" s="51"/>
      <c r="P26" s="48"/>
      <c r="Q26" s="51"/>
      <c r="R26" s="37">
        <f t="shared" si="14"/>
        <v>0</v>
      </c>
      <c r="S26" s="38"/>
      <c r="T26" s="38"/>
      <c r="U26" s="51"/>
      <c r="V26" s="51"/>
      <c r="W26" s="51"/>
      <c r="X26" s="51"/>
      <c r="Y26" s="37">
        <f t="shared" si="15"/>
        <v>0</v>
      </c>
      <c r="Z26" s="51"/>
      <c r="AA26" s="38"/>
      <c r="AB26" s="38"/>
      <c r="AC26" s="51"/>
      <c r="AD26" s="51"/>
      <c r="AE26" s="51"/>
      <c r="AF26" s="37">
        <f t="shared" si="16"/>
        <v>0</v>
      </c>
      <c r="AG26" s="38">
        <f t="shared" si="17"/>
        <v>0</v>
      </c>
      <c r="AH26" s="41"/>
      <c r="AI26" s="7">
        <v>0</v>
      </c>
      <c r="AJ26" s="41"/>
      <c r="AK26" s="41"/>
      <c r="AP26" s="32"/>
      <c r="AQ26" s="33"/>
      <c r="AR26" s="53"/>
    </row>
    <row r="27" spans="1:44" ht="19.5" customHeight="1" x14ac:dyDescent="0.25">
      <c r="A27" s="48"/>
      <c r="B27" s="48"/>
      <c r="C27" s="46" t="s">
        <v>37</v>
      </c>
      <c r="D27" s="27"/>
      <c r="E27" s="50"/>
      <c r="F27" s="50"/>
      <c r="G27" s="51"/>
      <c r="H27" s="48"/>
      <c r="I27" s="51"/>
      <c r="J27" s="51">
        <v>2620.04</v>
      </c>
      <c r="K27" s="37">
        <f t="shared" si="13"/>
        <v>2620.04</v>
      </c>
      <c r="L27" s="38"/>
      <c r="M27" s="50"/>
      <c r="N27" s="50"/>
      <c r="O27" s="51"/>
      <c r="P27" s="48"/>
      <c r="Q27" s="51"/>
      <c r="R27" s="37">
        <f t="shared" si="14"/>
        <v>0</v>
      </c>
      <c r="S27" s="38"/>
      <c r="T27" s="38"/>
      <c r="U27" s="51"/>
      <c r="V27" s="51"/>
      <c r="W27" s="51"/>
      <c r="X27" s="51"/>
      <c r="Y27" s="37">
        <f t="shared" si="15"/>
        <v>0</v>
      </c>
      <c r="Z27" s="51"/>
      <c r="AA27" s="38"/>
      <c r="AB27" s="38"/>
      <c r="AC27" s="51"/>
      <c r="AD27" s="51"/>
      <c r="AE27" s="51"/>
      <c r="AF27" s="37">
        <f>AE27+AC27+AA27</f>
        <v>0</v>
      </c>
      <c r="AG27" s="38">
        <f>AF27+Y27+R27+K27</f>
        <v>2620.04</v>
      </c>
      <c r="AH27" s="41">
        <f t="shared" si="6"/>
        <v>2620.04</v>
      </c>
      <c r="AI27" s="7">
        <v>2620.04</v>
      </c>
      <c r="AJ27" s="41">
        <f t="shared" si="3"/>
        <v>0</v>
      </c>
      <c r="AK27" s="41"/>
      <c r="AP27" s="32" t="s">
        <v>53</v>
      </c>
      <c r="AQ27" s="33"/>
      <c r="AR27" s="53">
        <f t="shared" ref="AR27:AR29" si="18">AG34</f>
        <v>0</v>
      </c>
    </row>
    <row r="28" spans="1:44" s="8" customFormat="1" x14ac:dyDescent="0.25">
      <c r="A28" s="35">
        <v>244</v>
      </c>
      <c r="B28" s="35">
        <v>226</v>
      </c>
      <c r="C28" s="36" t="s">
        <v>54</v>
      </c>
      <c r="D28" s="28"/>
      <c r="E28" s="37">
        <f t="shared" ref="E28:AG28" si="19">SUM(E29:E39)</f>
        <v>0</v>
      </c>
      <c r="F28" s="37">
        <f t="shared" si="19"/>
        <v>0</v>
      </c>
      <c r="G28" s="37">
        <f t="shared" si="19"/>
        <v>0</v>
      </c>
      <c r="H28" s="37">
        <f t="shared" si="19"/>
        <v>0</v>
      </c>
      <c r="I28" s="37">
        <f t="shared" si="19"/>
        <v>0</v>
      </c>
      <c r="J28" s="37">
        <f t="shared" si="19"/>
        <v>4297</v>
      </c>
      <c r="K28" s="37">
        <f t="shared" si="19"/>
        <v>4297</v>
      </c>
      <c r="L28" s="37">
        <f t="shared" si="19"/>
        <v>0</v>
      </c>
      <c r="M28" s="37">
        <f t="shared" si="19"/>
        <v>1066</v>
      </c>
      <c r="N28" s="37">
        <f t="shared" si="19"/>
        <v>0</v>
      </c>
      <c r="O28" s="37">
        <f t="shared" si="19"/>
        <v>1101</v>
      </c>
      <c r="P28" s="37">
        <f t="shared" si="19"/>
        <v>0</v>
      </c>
      <c r="Q28" s="37">
        <f t="shared" si="19"/>
        <v>1066</v>
      </c>
      <c r="R28" s="37">
        <f t="shared" si="19"/>
        <v>3233</v>
      </c>
      <c r="S28" s="37">
        <f t="shared" si="19"/>
        <v>44</v>
      </c>
      <c r="T28" s="37">
        <f t="shared" si="19"/>
        <v>51573.47</v>
      </c>
      <c r="U28" s="37">
        <f t="shared" si="19"/>
        <v>0</v>
      </c>
      <c r="V28" s="37">
        <f t="shared" si="19"/>
        <v>1101</v>
      </c>
      <c r="W28" s="37">
        <f t="shared" si="19"/>
        <v>0</v>
      </c>
      <c r="X28" s="37">
        <f t="shared" si="19"/>
        <v>1066</v>
      </c>
      <c r="Y28" s="37">
        <f t="shared" si="19"/>
        <v>53740.47</v>
      </c>
      <c r="Z28" s="37">
        <f t="shared" si="19"/>
        <v>0</v>
      </c>
      <c r="AA28" s="37">
        <f t="shared" si="19"/>
        <v>1101</v>
      </c>
      <c r="AB28" s="37">
        <f t="shared" si="19"/>
        <v>0</v>
      </c>
      <c r="AC28" s="37">
        <f t="shared" si="19"/>
        <v>1066</v>
      </c>
      <c r="AD28" s="37">
        <f t="shared" si="19"/>
        <v>0</v>
      </c>
      <c r="AE28" s="37">
        <f t="shared" si="19"/>
        <v>1101</v>
      </c>
      <c r="AF28" s="37">
        <f t="shared" si="19"/>
        <v>3268</v>
      </c>
      <c r="AG28" s="37">
        <f t="shared" si="19"/>
        <v>64538.47</v>
      </c>
      <c r="AH28" s="41">
        <f t="shared" si="6"/>
        <v>5363</v>
      </c>
      <c r="AI28" s="8">
        <v>64538.47</v>
      </c>
      <c r="AJ28" s="41">
        <f t="shared" si="3"/>
        <v>0</v>
      </c>
      <c r="AK28" s="41">
        <f t="shared" si="4"/>
        <v>-5363</v>
      </c>
      <c r="AP28" s="32" t="s">
        <v>55</v>
      </c>
      <c r="AQ28" s="33"/>
      <c r="AR28" s="53">
        <f t="shared" si="18"/>
        <v>0</v>
      </c>
    </row>
    <row r="29" spans="1:44" ht="12.75" customHeight="1" x14ac:dyDescent="0.25">
      <c r="A29" s="48"/>
      <c r="B29" s="48"/>
      <c r="C29" s="49" t="s">
        <v>47</v>
      </c>
      <c r="D29" s="27"/>
      <c r="E29" s="50"/>
      <c r="F29" s="50"/>
      <c r="G29" s="51"/>
      <c r="H29" s="48"/>
      <c r="I29" s="51">
        <v>0</v>
      </c>
      <c r="J29" s="51">
        <v>0</v>
      </c>
      <c r="K29" s="37">
        <f t="shared" si="13"/>
        <v>0</v>
      </c>
      <c r="L29" s="38">
        <v>0</v>
      </c>
      <c r="M29" s="50">
        <v>0</v>
      </c>
      <c r="N29" s="50">
        <v>0</v>
      </c>
      <c r="O29" s="51">
        <v>0</v>
      </c>
      <c r="P29" s="48">
        <v>0</v>
      </c>
      <c r="Q29" s="51">
        <v>0</v>
      </c>
      <c r="R29" s="37">
        <f t="shared" si="14"/>
        <v>0</v>
      </c>
      <c r="S29" s="38">
        <v>44</v>
      </c>
      <c r="T29" s="38">
        <f>70400-19927.53</f>
        <v>50472.47</v>
      </c>
      <c r="U29" s="51">
        <v>0</v>
      </c>
      <c r="V29" s="51">
        <v>0</v>
      </c>
      <c r="W29" s="51">
        <v>0</v>
      </c>
      <c r="X29" s="51">
        <v>0</v>
      </c>
      <c r="Y29" s="37">
        <f t="shared" si="15"/>
        <v>50472.47</v>
      </c>
      <c r="Z29" s="51">
        <v>0</v>
      </c>
      <c r="AA29" s="38">
        <v>0</v>
      </c>
      <c r="AB29" s="38">
        <v>0</v>
      </c>
      <c r="AC29" s="51">
        <v>0</v>
      </c>
      <c r="AD29" s="51">
        <v>0</v>
      </c>
      <c r="AE29" s="51">
        <v>0</v>
      </c>
      <c r="AF29" s="37">
        <f t="shared" si="16"/>
        <v>0</v>
      </c>
      <c r="AG29" s="38">
        <f t="shared" si="17"/>
        <v>50472.47</v>
      </c>
      <c r="AH29" s="41">
        <f t="shared" si="6"/>
        <v>0</v>
      </c>
      <c r="AI29" s="7">
        <v>50472.47</v>
      </c>
      <c r="AJ29" s="41">
        <f t="shared" si="3"/>
        <v>0</v>
      </c>
      <c r="AK29" s="41">
        <f t="shared" si="4"/>
        <v>0</v>
      </c>
      <c r="AP29" s="32" t="s">
        <v>56</v>
      </c>
      <c r="AQ29" s="33"/>
      <c r="AR29" s="53">
        <f t="shared" si="18"/>
        <v>0</v>
      </c>
    </row>
    <row r="30" spans="1:44" ht="12.75" customHeight="1" x14ac:dyDescent="0.25">
      <c r="A30" s="48"/>
      <c r="B30" s="48"/>
      <c r="C30" s="49" t="s">
        <v>48</v>
      </c>
      <c r="D30" s="27"/>
      <c r="E30" s="50"/>
      <c r="F30" s="50"/>
      <c r="G30" s="51"/>
      <c r="H30" s="48"/>
      <c r="I30" s="51">
        <v>0</v>
      </c>
      <c r="J30" s="51">
        <f>6000-6000</f>
        <v>0</v>
      </c>
      <c r="K30" s="37">
        <f t="shared" si="13"/>
        <v>0</v>
      </c>
      <c r="L30" s="38">
        <v>0</v>
      </c>
      <c r="M30" s="50">
        <v>0</v>
      </c>
      <c r="N30" s="50">
        <v>0</v>
      </c>
      <c r="O30" s="51">
        <v>0</v>
      </c>
      <c r="P30" s="48">
        <v>0</v>
      </c>
      <c r="Q30" s="51">
        <v>0</v>
      </c>
      <c r="R30" s="37">
        <f t="shared" si="14"/>
        <v>0</v>
      </c>
      <c r="S30" s="38">
        <v>0</v>
      </c>
      <c r="T30" s="38">
        <v>0</v>
      </c>
      <c r="U30" s="51">
        <v>0</v>
      </c>
      <c r="V30" s="51">
        <v>0</v>
      </c>
      <c r="W30" s="51">
        <v>0</v>
      </c>
      <c r="X30" s="51">
        <v>0</v>
      </c>
      <c r="Y30" s="37">
        <f t="shared" si="15"/>
        <v>0</v>
      </c>
      <c r="Z30" s="51">
        <v>0</v>
      </c>
      <c r="AA30" s="38">
        <v>0</v>
      </c>
      <c r="AB30" s="38">
        <v>0</v>
      </c>
      <c r="AC30" s="51">
        <v>0</v>
      </c>
      <c r="AD30" s="51">
        <v>0</v>
      </c>
      <c r="AE30" s="51">
        <v>0</v>
      </c>
      <c r="AF30" s="37">
        <f t="shared" si="16"/>
        <v>0</v>
      </c>
      <c r="AG30" s="38">
        <f t="shared" si="17"/>
        <v>0</v>
      </c>
      <c r="AH30" s="41">
        <f t="shared" si="6"/>
        <v>0</v>
      </c>
      <c r="AI30" s="7">
        <v>0</v>
      </c>
      <c r="AJ30" s="41">
        <f t="shared" si="3"/>
        <v>0</v>
      </c>
      <c r="AK30" s="41">
        <f t="shared" si="4"/>
        <v>0</v>
      </c>
      <c r="AP30" s="32">
        <v>227</v>
      </c>
      <c r="AQ30" s="33"/>
      <c r="AR30" s="33"/>
    </row>
    <row r="31" spans="1:44" ht="18.75" customHeight="1" x14ac:dyDescent="0.25">
      <c r="A31" s="48"/>
      <c r="B31" s="48"/>
      <c r="C31" s="49" t="s">
        <v>49</v>
      </c>
      <c r="D31" s="27"/>
      <c r="E31" s="50"/>
      <c r="F31" s="50"/>
      <c r="G31" s="51"/>
      <c r="H31" s="48"/>
      <c r="I31" s="51">
        <v>0</v>
      </c>
      <c r="J31" s="51">
        <f>1101+1101+995</f>
        <v>3197</v>
      </c>
      <c r="K31" s="37">
        <f t="shared" si="13"/>
        <v>3197</v>
      </c>
      <c r="L31" s="38">
        <v>0</v>
      </c>
      <c r="M31" s="50">
        <v>1066</v>
      </c>
      <c r="N31" s="50">
        <v>0</v>
      </c>
      <c r="O31" s="51">
        <v>1101</v>
      </c>
      <c r="P31" s="48">
        <v>0</v>
      </c>
      <c r="Q31" s="51">
        <v>1066</v>
      </c>
      <c r="R31" s="37">
        <f t="shared" si="14"/>
        <v>3233</v>
      </c>
      <c r="S31" s="38">
        <v>0</v>
      </c>
      <c r="T31" s="38">
        <v>1101</v>
      </c>
      <c r="U31" s="51">
        <v>0</v>
      </c>
      <c r="V31" s="51">
        <v>1101</v>
      </c>
      <c r="W31" s="51">
        <v>0</v>
      </c>
      <c r="X31" s="51">
        <v>1066</v>
      </c>
      <c r="Y31" s="37">
        <f t="shared" si="15"/>
        <v>3268</v>
      </c>
      <c r="Z31" s="51">
        <v>0</v>
      </c>
      <c r="AA31" s="38">
        <v>1101</v>
      </c>
      <c r="AB31" s="38">
        <v>0</v>
      </c>
      <c r="AC31" s="51">
        <v>1066</v>
      </c>
      <c r="AD31" s="51">
        <v>0</v>
      </c>
      <c r="AE31" s="51">
        <v>1101</v>
      </c>
      <c r="AF31" s="37">
        <f t="shared" si="16"/>
        <v>3268</v>
      </c>
      <c r="AG31" s="38">
        <f t="shared" si="17"/>
        <v>12966</v>
      </c>
      <c r="AH31" s="41">
        <f t="shared" si="6"/>
        <v>4263</v>
      </c>
      <c r="AI31" s="7">
        <v>12966</v>
      </c>
      <c r="AJ31" s="41">
        <f t="shared" si="3"/>
        <v>0</v>
      </c>
      <c r="AK31" s="41">
        <f t="shared" si="4"/>
        <v>-4263</v>
      </c>
      <c r="AP31" s="32">
        <v>310</v>
      </c>
      <c r="AQ31" s="33"/>
      <c r="AR31" s="33"/>
    </row>
    <row r="32" spans="1:44" ht="19.5" customHeight="1" x14ac:dyDescent="0.25">
      <c r="A32" s="48"/>
      <c r="B32" s="48"/>
      <c r="C32" s="49" t="s">
        <v>50</v>
      </c>
      <c r="D32" s="27"/>
      <c r="E32" s="50"/>
      <c r="F32" s="50"/>
      <c r="G32" s="51"/>
      <c r="H32" s="48"/>
      <c r="I32" s="51">
        <v>0</v>
      </c>
      <c r="J32" s="51">
        <f>74976+57936+61344-40000-154256</f>
        <v>0</v>
      </c>
      <c r="K32" s="37">
        <f t="shared" si="13"/>
        <v>0</v>
      </c>
      <c r="L32" s="38">
        <v>0</v>
      </c>
      <c r="M32" s="50">
        <f>68160-68160</f>
        <v>0</v>
      </c>
      <c r="N32" s="50">
        <v>0</v>
      </c>
      <c r="O32" s="51">
        <f>68160-68160</f>
        <v>0</v>
      </c>
      <c r="P32" s="48">
        <v>0</v>
      </c>
      <c r="Q32" s="51">
        <f>71568-71568</f>
        <v>0</v>
      </c>
      <c r="R32" s="37">
        <f t="shared" si="14"/>
        <v>0</v>
      </c>
      <c r="S32" s="38">
        <v>0</v>
      </c>
      <c r="T32" s="38">
        <f>71568-71568</f>
        <v>0</v>
      </c>
      <c r="U32" s="51">
        <v>0</v>
      </c>
      <c r="V32" s="51">
        <f>78384-78384</f>
        <v>0</v>
      </c>
      <c r="W32" s="51">
        <v>0</v>
      </c>
      <c r="X32" s="51">
        <f>71568-71568</f>
        <v>0</v>
      </c>
      <c r="Y32" s="37">
        <f t="shared" si="15"/>
        <v>0</v>
      </c>
      <c r="Z32" s="51">
        <v>0</v>
      </c>
      <c r="AA32" s="38">
        <f>74976-74976</f>
        <v>0</v>
      </c>
      <c r="AB32" s="38">
        <v>0</v>
      </c>
      <c r="AC32" s="51">
        <f>71568-71568</f>
        <v>0</v>
      </c>
      <c r="AD32" s="51">
        <v>0</v>
      </c>
      <c r="AE32" s="51">
        <f>71568-71568</f>
        <v>0</v>
      </c>
      <c r="AF32" s="37">
        <f t="shared" si="16"/>
        <v>0</v>
      </c>
      <c r="AG32" s="38">
        <f t="shared" si="17"/>
        <v>0</v>
      </c>
      <c r="AH32" s="41">
        <f t="shared" si="6"/>
        <v>0</v>
      </c>
      <c r="AI32" s="7">
        <v>0</v>
      </c>
      <c r="AJ32" s="41">
        <f t="shared" si="3"/>
        <v>0</v>
      </c>
      <c r="AK32" s="41">
        <f t="shared" si="4"/>
        <v>0</v>
      </c>
      <c r="AP32" s="32">
        <v>341</v>
      </c>
      <c r="AQ32" s="33"/>
      <c r="AR32" s="53">
        <f>AG51</f>
        <v>24000</v>
      </c>
    </row>
    <row r="33" spans="1:44" ht="17.25" customHeight="1" x14ac:dyDescent="0.25">
      <c r="A33" s="48"/>
      <c r="B33" s="48"/>
      <c r="C33" s="49" t="s">
        <v>51</v>
      </c>
      <c r="D33" s="27"/>
      <c r="E33" s="50"/>
      <c r="F33" s="50"/>
      <c r="G33" s="51"/>
      <c r="H33" s="48"/>
      <c r="I33" s="51">
        <v>0</v>
      </c>
      <c r="J33" s="51">
        <v>1100</v>
      </c>
      <c r="K33" s="37">
        <f t="shared" si="13"/>
        <v>1100</v>
      </c>
      <c r="L33" s="38">
        <v>0</v>
      </c>
      <c r="M33" s="50">
        <v>0</v>
      </c>
      <c r="N33" s="50">
        <v>0</v>
      </c>
      <c r="O33" s="51">
        <v>0</v>
      </c>
      <c r="P33" s="48">
        <v>0</v>
      </c>
      <c r="Q33" s="51">
        <v>0</v>
      </c>
      <c r="R33" s="37">
        <f t="shared" si="14"/>
        <v>0</v>
      </c>
      <c r="S33" s="38">
        <v>0</v>
      </c>
      <c r="T33" s="38">
        <v>0</v>
      </c>
      <c r="U33" s="51">
        <v>0</v>
      </c>
      <c r="V33" s="51">
        <v>0</v>
      </c>
      <c r="W33" s="51">
        <v>0</v>
      </c>
      <c r="X33" s="51">
        <v>0</v>
      </c>
      <c r="Y33" s="37">
        <f t="shared" si="15"/>
        <v>0</v>
      </c>
      <c r="Z33" s="51">
        <v>0</v>
      </c>
      <c r="AA33" s="38">
        <v>0</v>
      </c>
      <c r="AB33" s="38">
        <v>0</v>
      </c>
      <c r="AC33" s="51">
        <v>0</v>
      </c>
      <c r="AD33" s="51">
        <v>0</v>
      </c>
      <c r="AE33" s="51">
        <v>0</v>
      </c>
      <c r="AF33" s="37">
        <f t="shared" si="16"/>
        <v>0</v>
      </c>
      <c r="AG33" s="38">
        <f t="shared" si="17"/>
        <v>1100</v>
      </c>
      <c r="AH33" s="41">
        <f t="shared" si="6"/>
        <v>1100</v>
      </c>
      <c r="AI33" s="7">
        <v>1100</v>
      </c>
      <c r="AJ33" s="41">
        <f t="shared" si="3"/>
        <v>0</v>
      </c>
      <c r="AK33" s="41">
        <f t="shared" si="4"/>
        <v>-1100</v>
      </c>
      <c r="AP33" s="32">
        <v>342</v>
      </c>
      <c r="AQ33" s="33"/>
      <c r="AR33" s="53">
        <f>AG52</f>
        <v>1782352</v>
      </c>
    </row>
    <row r="34" spans="1:44" ht="17.25" customHeight="1" x14ac:dyDescent="0.25">
      <c r="A34" s="48"/>
      <c r="B34" s="48"/>
      <c r="C34" s="49" t="s">
        <v>53</v>
      </c>
      <c r="D34" s="27"/>
      <c r="E34" s="50"/>
      <c r="F34" s="50"/>
      <c r="G34" s="51"/>
      <c r="H34" s="48"/>
      <c r="I34" s="51">
        <v>0</v>
      </c>
      <c r="J34" s="51">
        <v>0</v>
      </c>
      <c r="K34" s="37">
        <f t="shared" si="13"/>
        <v>0</v>
      </c>
      <c r="L34" s="38">
        <v>0</v>
      </c>
      <c r="M34" s="50">
        <v>0</v>
      </c>
      <c r="N34" s="50">
        <v>0</v>
      </c>
      <c r="O34" s="51">
        <v>0</v>
      </c>
      <c r="P34" s="48">
        <v>0</v>
      </c>
      <c r="Q34" s="51">
        <v>0</v>
      </c>
      <c r="R34" s="37">
        <f t="shared" si="14"/>
        <v>0</v>
      </c>
      <c r="S34" s="38">
        <v>0</v>
      </c>
      <c r="T34" s="38">
        <v>0</v>
      </c>
      <c r="U34" s="51">
        <v>0</v>
      </c>
      <c r="V34" s="51">
        <v>0</v>
      </c>
      <c r="W34" s="51">
        <v>0</v>
      </c>
      <c r="X34" s="51">
        <v>0</v>
      </c>
      <c r="Y34" s="37">
        <f t="shared" si="15"/>
        <v>0</v>
      </c>
      <c r="Z34" s="51">
        <v>0</v>
      </c>
      <c r="AA34" s="38">
        <v>0</v>
      </c>
      <c r="AB34" s="38">
        <v>0</v>
      </c>
      <c r="AC34" s="51">
        <v>0</v>
      </c>
      <c r="AD34" s="51">
        <v>0</v>
      </c>
      <c r="AE34" s="51">
        <v>0</v>
      </c>
      <c r="AF34" s="37">
        <f t="shared" si="16"/>
        <v>0</v>
      </c>
      <c r="AG34" s="38">
        <f t="shared" si="17"/>
        <v>0</v>
      </c>
      <c r="AH34" s="41">
        <f t="shared" si="6"/>
        <v>0</v>
      </c>
      <c r="AI34" s="7">
        <v>0</v>
      </c>
      <c r="AJ34" s="41">
        <f t="shared" si="3"/>
        <v>0</v>
      </c>
      <c r="AK34" s="41">
        <f t="shared" si="4"/>
        <v>0</v>
      </c>
      <c r="AP34" s="32">
        <v>343</v>
      </c>
      <c r="AQ34" s="33"/>
      <c r="AR34" s="33"/>
    </row>
    <row r="35" spans="1:44" ht="17.25" customHeight="1" x14ac:dyDescent="0.25">
      <c r="A35" s="48"/>
      <c r="B35" s="48"/>
      <c r="C35" s="49" t="s">
        <v>55</v>
      </c>
      <c r="D35" s="27"/>
      <c r="E35" s="50"/>
      <c r="F35" s="50"/>
      <c r="G35" s="51"/>
      <c r="H35" s="48"/>
      <c r="I35" s="51">
        <v>0</v>
      </c>
      <c r="J35" s="51">
        <v>0</v>
      </c>
      <c r="K35" s="37">
        <f t="shared" si="13"/>
        <v>0</v>
      </c>
      <c r="L35" s="38">
        <v>0</v>
      </c>
      <c r="M35" s="50">
        <v>0</v>
      </c>
      <c r="N35" s="50">
        <v>0</v>
      </c>
      <c r="O35" s="51">
        <v>0</v>
      </c>
      <c r="P35" s="48">
        <v>0</v>
      </c>
      <c r="Q35" s="51">
        <v>0</v>
      </c>
      <c r="R35" s="37">
        <f t="shared" si="14"/>
        <v>0</v>
      </c>
      <c r="S35" s="38">
        <v>0</v>
      </c>
      <c r="T35" s="38">
        <v>0</v>
      </c>
      <c r="U35" s="51">
        <v>0</v>
      </c>
      <c r="V35" s="51">
        <v>0</v>
      </c>
      <c r="W35" s="51">
        <v>0</v>
      </c>
      <c r="X35" s="51">
        <v>0</v>
      </c>
      <c r="Y35" s="37">
        <f t="shared" si="15"/>
        <v>0</v>
      </c>
      <c r="Z35" s="51">
        <v>0</v>
      </c>
      <c r="AA35" s="38">
        <v>0</v>
      </c>
      <c r="AB35" s="38">
        <v>0</v>
      </c>
      <c r="AC35" s="51">
        <v>0</v>
      </c>
      <c r="AD35" s="51">
        <v>0</v>
      </c>
      <c r="AE35" s="51">
        <v>0</v>
      </c>
      <c r="AF35" s="37">
        <f t="shared" si="16"/>
        <v>0</v>
      </c>
      <c r="AG35" s="38">
        <f t="shared" si="17"/>
        <v>0</v>
      </c>
      <c r="AH35" s="41">
        <f t="shared" si="6"/>
        <v>0</v>
      </c>
      <c r="AI35" s="7">
        <v>0</v>
      </c>
      <c r="AJ35" s="41">
        <f t="shared" si="3"/>
        <v>0</v>
      </c>
      <c r="AK35" s="41">
        <f t="shared" si="4"/>
        <v>0</v>
      </c>
      <c r="AP35" s="32">
        <v>345</v>
      </c>
      <c r="AQ35" s="33"/>
      <c r="AR35" s="53">
        <f>AG54</f>
        <v>1148200</v>
      </c>
    </row>
    <row r="36" spans="1:44" ht="17.25" customHeight="1" x14ac:dyDescent="0.25">
      <c r="A36" s="48"/>
      <c r="B36" s="48"/>
      <c r="C36" s="49" t="s">
        <v>56</v>
      </c>
      <c r="D36" s="27"/>
      <c r="E36" s="50"/>
      <c r="F36" s="50"/>
      <c r="G36" s="51"/>
      <c r="H36" s="48"/>
      <c r="I36" s="51">
        <v>0</v>
      </c>
      <c r="J36" s="51">
        <v>0</v>
      </c>
      <c r="K36" s="37">
        <f t="shared" si="13"/>
        <v>0</v>
      </c>
      <c r="L36" s="38">
        <v>0</v>
      </c>
      <c r="M36" s="50">
        <v>0</v>
      </c>
      <c r="N36" s="50">
        <v>0</v>
      </c>
      <c r="O36" s="51">
        <v>0</v>
      </c>
      <c r="P36" s="48">
        <v>0</v>
      </c>
      <c r="Q36" s="51">
        <v>0</v>
      </c>
      <c r="R36" s="37">
        <f t="shared" si="14"/>
        <v>0</v>
      </c>
      <c r="S36" s="38">
        <v>0</v>
      </c>
      <c r="T36" s="38">
        <v>0</v>
      </c>
      <c r="U36" s="51">
        <v>0</v>
      </c>
      <c r="V36" s="51">
        <v>0</v>
      </c>
      <c r="W36" s="51">
        <v>0</v>
      </c>
      <c r="X36" s="51">
        <v>0</v>
      </c>
      <c r="Y36" s="37">
        <f t="shared" si="15"/>
        <v>0</v>
      </c>
      <c r="Z36" s="51">
        <v>0</v>
      </c>
      <c r="AA36" s="38">
        <v>0</v>
      </c>
      <c r="AB36" s="38">
        <v>0</v>
      </c>
      <c r="AC36" s="51">
        <v>0</v>
      </c>
      <c r="AD36" s="51">
        <v>0</v>
      </c>
      <c r="AE36" s="51">
        <v>0</v>
      </c>
      <c r="AF36" s="37">
        <f t="shared" si="16"/>
        <v>0</v>
      </c>
      <c r="AG36" s="38">
        <f t="shared" si="17"/>
        <v>0</v>
      </c>
      <c r="AH36" s="41">
        <f t="shared" si="6"/>
        <v>0</v>
      </c>
      <c r="AI36" s="7">
        <v>0</v>
      </c>
      <c r="AJ36" s="41">
        <f t="shared" si="3"/>
        <v>0</v>
      </c>
      <c r="AK36" s="41">
        <f t="shared" si="4"/>
        <v>0</v>
      </c>
      <c r="AP36" s="54">
        <v>346</v>
      </c>
      <c r="AQ36" s="55">
        <f>SUM(AQ40:AQ53)</f>
        <v>0</v>
      </c>
      <c r="AR36" s="55">
        <f>SUM(AR40:AR53)</f>
        <v>192170</v>
      </c>
    </row>
    <row r="37" spans="1:44" ht="17.25" customHeight="1" x14ac:dyDescent="0.25">
      <c r="A37" s="48"/>
      <c r="B37" s="48"/>
      <c r="C37" s="49" t="s">
        <v>57</v>
      </c>
      <c r="D37" s="27"/>
      <c r="E37" s="50"/>
      <c r="F37" s="50"/>
      <c r="G37" s="51"/>
      <c r="H37" s="48"/>
      <c r="I37" s="51"/>
      <c r="J37" s="51"/>
      <c r="K37" s="37">
        <f t="shared" si="13"/>
        <v>0</v>
      </c>
      <c r="L37" s="38"/>
      <c r="M37" s="50"/>
      <c r="N37" s="50"/>
      <c r="O37" s="51"/>
      <c r="P37" s="48"/>
      <c r="Q37" s="51"/>
      <c r="R37" s="37">
        <f t="shared" si="14"/>
        <v>0</v>
      </c>
      <c r="S37" s="38"/>
      <c r="T37" s="38"/>
      <c r="U37" s="51"/>
      <c r="V37" s="51"/>
      <c r="W37" s="51"/>
      <c r="X37" s="51"/>
      <c r="Y37" s="37">
        <f t="shared" si="15"/>
        <v>0</v>
      </c>
      <c r="Z37" s="51"/>
      <c r="AA37" s="38"/>
      <c r="AB37" s="38"/>
      <c r="AC37" s="51"/>
      <c r="AD37" s="51"/>
      <c r="AE37" s="51"/>
      <c r="AF37" s="37">
        <f t="shared" si="16"/>
        <v>0</v>
      </c>
      <c r="AG37" s="38">
        <f t="shared" si="17"/>
        <v>0</v>
      </c>
      <c r="AH37" s="41"/>
      <c r="AI37" s="7">
        <v>0</v>
      </c>
      <c r="AJ37" s="41"/>
      <c r="AK37" s="41"/>
      <c r="AP37" s="54"/>
      <c r="AQ37" s="55"/>
      <c r="AR37" s="55"/>
    </row>
    <row r="38" spans="1:44" ht="17.25" customHeight="1" x14ac:dyDescent="0.25">
      <c r="A38" s="48"/>
      <c r="B38" s="48"/>
      <c r="C38" s="49" t="s">
        <v>37</v>
      </c>
      <c r="D38" s="27"/>
      <c r="E38" s="50"/>
      <c r="F38" s="50"/>
      <c r="G38" s="51"/>
      <c r="H38" s="48"/>
      <c r="I38" s="51"/>
      <c r="J38" s="51"/>
      <c r="K38" s="37">
        <f t="shared" si="13"/>
        <v>0</v>
      </c>
      <c r="L38" s="38"/>
      <c r="M38" s="50"/>
      <c r="N38" s="50"/>
      <c r="O38" s="51"/>
      <c r="P38" s="48"/>
      <c r="Q38" s="51"/>
      <c r="R38" s="37">
        <f t="shared" si="14"/>
        <v>0</v>
      </c>
      <c r="S38" s="38"/>
      <c r="T38" s="38"/>
      <c r="U38" s="51"/>
      <c r="V38" s="51"/>
      <c r="W38" s="51"/>
      <c r="X38" s="51"/>
      <c r="Y38" s="37">
        <f t="shared" si="15"/>
        <v>0</v>
      </c>
      <c r="Z38" s="51"/>
      <c r="AA38" s="38"/>
      <c r="AB38" s="38"/>
      <c r="AC38" s="51"/>
      <c r="AD38" s="51"/>
      <c r="AE38" s="51"/>
      <c r="AF38" s="37">
        <f>AE38+AC38+AA38</f>
        <v>0</v>
      </c>
      <c r="AG38" s="38">
        <f>AF38+Y38+R38+K38</f>
        <v>0</v>
      </c>
      <c r="AH38" s="41"/>
      <c r="AI38" s="7">
        <v>0</v>
      </c>
      <c r="AJ38" s="41">
        <f t="shared" si="3"/>
        <v>0</v>
      </c>
      <c r="AK38" s="41"/>
      <c r="AP38" s="54"/>
      <c r="AQ38" s="55"/>
      <c r="AR38" s="55"/>
    </row>
    <row r="39" spans="1:44" ht="20.25" customHeight="1" x14ac:dyDescent="0.25">
      <c r="A39" s="48"/>
      <c r="B39" s="48"/>
      <c r="C39" s="49" t="s">
        <v>58</v>
      </c>
      <c r="D39" s="27"/>
      <c r="E39" s="50"/>
      <c r="F39" s="50"/>
      <c r="G39" s="51"/>
      <c r="H39" s="48"/>
      <c r="I39" s="51"/>
      <c r="J39" s="51"/>
      <c r="K39" s="37">
        <f>J39+H39+F39</f>
        <v>0</v>
      </c>
      <c r="L39" s="38"/>
      <c r="M39" s="50"/>
      <c r="N39" s="50"/>
      <c r="O39" s="51"/>
      <c r="P39" s="48"/>
      <c r="Q39" s="51"/>
      <c r="R39" s="37">
        <f>Q39+O39+M39</f>
        <v>0</v>
      </c>
      <c r="S39" s="38"/>
      <c r="T39" s="38"/>
      <c r="U39" s="51"/>
      <c r="V39" s="51"/>
      <c r="W39" s="51"/>
      <c r="X39" s="51"/>
      <c r="Y39" s="37">
        <f>X39+V39+T39</f>
        <v>0</v>
      </c>
      <c r="Z39" s="51"/>
      <c r="AA39" s="38"/>
      <c r="AB39" s="38"/>
      <c r="AC39" s="51"/>
      <c r="AD39" s="51"/>
      <c r="AE39" s="51"/>
      <c r="AF39" s="37">
        <f>AE39+AC39+AA39</f>
        <v>0</v>
      </c>
      <c r="AG39" s="38">
        <f>AF39+Y39+R39+K39</f>
        <v>0</v>
      </c>
      <c r="AH39" s="41"/>
      <c r="AI39" s="7">
        <v>0</v>
      </c>
      <c r="AJ39" s="41">
        <f t="shared" si="3"/>
        <v>0</v>
      </c>
      <c r="AK39" s="41"/>
      <c r="AP39" s="54"/>
      <c r="AQ39" s="55"/>
      <c r="AR39" s="55"/>
    </row>
    <row r="40" spans="1:44" ht="19.5" customHeight="1" x14ac:dyDescent="0.25">
      <c r="A40" s="48">
        <v>244</v>
      </c>
      <c r="B40" s="48">
        <v>310</v>
      </c>
      <c r="C40" s="56" t="s">
        <v>59</v>
      </c>
      <c r="D40" s="27"/>
      <c r="E40" s="50">
        <f>E44+E45+E46+E47+E50+E41+E42+E43+E48+E49</f>
        <v>0</v>
      </c>
      <c r="F40" s="50">
        <f t="shared" ref="F40:J40" si="20">F44+F45+F46+F47+F50+F41+F42+F43+F48+F49</f>
        <v>0</v>
      </c>
      <c r="G40" s="50">
        <f t="shared" si="20"/>
        <v>0</v>
      </c>
      <c r="H40" s="50">
        <f t="shared" si="20"/>
        <v>0</v>
      </c>
      <c r="I40" s="50">
        <f>I44+I45+I46+I47+I50+I41+I42+I43+I48+I49</f>
        <v>0</v>
      </c>
      <c r="J40" s="50">
        <f t="shared" si="20"/>
        <v>221321</v>
      </c>
      <c r="K40" s="50">
        <f>K44+K45+K46+K47+K50+K41+K42+K43+K48+K49</f>
        <v>221321</v>
      </c>
      <c r="L40" s="50">
        <f>L44+L45+L46+L47+L50+L41+L42+L43+L48+L49</f>
        <v>0</v>
      </c>
      <c r="M40" s="50">
        <f t="shared" ref="M40:P40" si="21">M44+M45+M46+M47+M50+M41+M42+M43+M48+M49</f>
        <v>0</v>
      </c>
      <c r="N40" s="50">
        <f t="shared" si="21"/>
        <v>0</v>
      </c>
      <c r="O40" s="50">
        <f t="shared" si="21"/>
        <v>0</v>
      </c>
      <c r="P40" s="50">
        <f t="shared" si="21"/>
        <v>0</v>
      </c>
      <c r="Q40" s="50">
        <f>Q44+Q45+Q46+Q47+Q50+Q41+Q42+Q43+Q48+Q49</f>
        <v>4016070</v>
      </c>
      <c r="R40" s="50">
        <f>R44+R45+R46+R47+R50+R41+R42+R43+R48+R49</f>
        <v>4016070</v>
      </c>
      <c r="S40" s="50">
        <f>S44+S45+S46+S47+S50+S41+S42+S43+S48+S49</f>
        <v>0</v>
      </c>
      <c r="T40" s="50">
        <f t="shared" ref="T40:W40" si="22">T44+T45+T46+T47+T50+T41+T42+T43+T48+T49</f>
        <v>0</v>
      </c>
      <c r="U40" s="50">
        <f>U44+U45+U46+U47+U50+U41+U42+U43+U48+U49</f>
        <v>0</v>
      </c>
      <c r="V40" s="50">
        <f t="shared" si="22"/>
        <v>0</v>
      </c>
      <c r="W40" s="50">
        <f t="shared" si="22"/>
        <v>0</v>
      </c>
      <c r="X40" s="50">
        <f>X44+X45+X46+X47+X50+X41+X42+X43+X48+X49</f>
        <v>0</v>
      </c>
      <c r="Y40" s="50">
        <f>Y44+Y45+Y46+Y47+Y50+Y41+Y42+Y43+Y48+Y49</f>
        <v>0</v>
      </c>
      <c r="Z40" s="50">
        <f>Z44+Z45+Z46+Z47+Z50+Z41+Z42+Z43+Z48+Z49</f>
        <v>0</v>
      </c>
      <c r="AA40" s="50">
        <f t="shared" ref="AA40:AD40" si="23">AA44+AA45+AA46+AA47+AA50+AA41+AA42+AA43+AA48+AA49</f>
        <v>38138</v>
      </c>
      <c r="AB40" s="50">
        <f t="shared" si="23"/>
        <v>0</v>
      </c>
      <c r="AC40" s="50">
        <f t="shared" si="23"/>
        <v>0</v>
      </c>
      <c r="AD40" s="50">
        <f t="shared" si="23"/>
        <v>0</v>
      </c>
      <c r="AE40" s="50">
        <f>AE44+AE45+AE46+AE47+AE50+AE41+AE42+AE43+AE48+AE49</f>
        <v>0</v>
      </c>
      <c r="AF40" s="50">
        <f>AF44+AF45+AF46+AF47+AF50+AF41+AF42+AF43+AF48+AF49</f>
        <v>38138</v>
      </c>
      <c r="AG40" s="50">
        <f>AG44+AG45+AG46+AG47+AG50+AG41+AG42+AG43+AG48+AG49</f>
        <v>4275529</v>
      </c>
      <c r="AH40" s="41">
        <f t="shared" si="6"/>
        <v>221321</v>
      </c>
      <c r="AI40" s="7">
        <v>4275529</v>
      </c>
      <c r="AJ40" s="41">
        <f t="shared" si="3"/>
        <v>0</v>
      </c>
      <c r="AK40" s="41"/>
      <c r="AP40" s="57" t="s">
        <v>60</v>
      </c>
      <c r="AQ40" s="55"/>
      <c r="AR40" s="58">
        <f>AG58</f>
        <v>24910</v>
      </c>
    </row>
    <row r="41" spans="1:44" ht="19.5" customHeight="1" x14ac:dyDescent="0.25">
      <c r="A41" s="48"/>
      <c r="B41" s="48"/>
      <c r="C41" s="36" t="s">
        <v>61</v>
      </c>
      <c r="D41" s="27"/>
      <c r="E41" s="50">
        <f>E45+E46+E47+E50+E51</f>
        <v>0</v>
      </c>
      <c r="F41" s="50"/>
      <c r="G41" s="50"/>
      <c r="H41" s="50"/>
      <c r="I41" s="50"/>
      <c r="J41" s="50"/>
      <c r="K41" s="37">
        <f t="shared" ref="K41:K52" si="24">J41+H41+F41</f>
        <v>0</v>
      </c>
      <c r="L41" s="50"/>
      <c r="M41" s="50"/>
      <c r="N41" s="50"/>
      <c r="O41" s="50"/>
      <c r="P41" s="50"/>
      <c r="Q41" s="50">
        <v>3746038</v>
      </c>
      <c r="R41" s="37">
        <f t="shared" si="14"/>
        <v>3746038</v>
      </c>
      <c r="S41" s="50"/>
      <c r="T41" s="50"/>
      <c r="U41" s="50"/>
      <c r="V41" s="50"/>
      <c r="W41" s="50"/>
      <c r="X41" s="50"/>
      <c r="Y41" s="37">
        <f t="shared" si="15"/>
        <v>0</v>
      </c>
      <c r="Z41" s="50"/>
      <c r="AA41" s="50"/>
      <c r="AB41" s="50"/>
      <c r="AC41" s="50"/>
      <c r="AD41" s="50"/>
      <c r="AE41" s="50"/>
      <c r="AF41" s="37">
        <f t="shared" ref="AF41:AF52" si="25">AE41+AC41+AA41</f>
        <v>0</v>
      </c>
      <c r="AG41" s="38">
        <f t="shared" ref="AG41:AG52" si="26">AF41+Y41+R41+K41</f>
        <v>3746038</v>
      </c>
      <c r="AH41" s="41"/>
      <c r="AI41" s="7">
        <v>3746038</v>
      </c>
      <c r="AJ41" s="41">
        <f t="shared" si="3"/>
        <v>0</v>
      </c>
      <c r="AK41" s="41"/>
      <c r="AP41" s="57"/>
      <c r="AQ41" s="55"/>
      <c r="AR41" s="58"/>
    </row>
    <row r="42" spans="1:44" ht="27" customHeight="1" x14ac:dyDescent="0.25">
      <c r="A42" s="48"/>
      <c r="B42" s="48"/>
      <c r="C42" s="36" t="s">
        <v>62</v>
      </c>
      <c r="D42" s="27"/>
      <c r="E42" s="50"/>
      <c r="F42" s="50"/>
      <c r="G42" s="50"/>
      <c r="H42" s="50"/>
      <c r="I42" s="50"/>
      <c r="J42" s="50"/>
      <c r="K42" s="37">
        <f t="shared" si="24"/>
        <v>0</v>
      </c>
      <c r="L42" s="50"/>
      <c r="M42" s="50"/>
      <c r="N42" s="50"/>
      <c r="O42" s="50"/>
      <c r="P42" s="50"/>
      <c r="Q42" s="50"/>
      <c r="R42" s="37">
        <f t="shared" si="14"/>
        <v>0</v>
      </c>
      <c r="S42" s="50"/>
      <c r="T42" s="50"/>
      <c r="U42" s="50"/>
      <c r="V42" s="50"/>
      <c r="W42" s="50"/>
      <c r="X42" s="50"/>
      <c r="Y42" s="37">
        <f t="shared" si="15"/>
        <v>0</v>
      </c>
      <c r="Z42" s="50"/>
      <c r="AA42" s="50"/>
      <c r="AB42" s="50"/>
      <c r="AC42" s="50"/>
      <c r="AD42" s="50"/>
      <c r="AE42" s="50"/>
      <c r="AF42" s="37">
        <f t="shared" si="25"/>
        <v>0</v>
      </c>
      <c r="AG42" s="38">
        <f t="shared" si="26"/>
        <v>0</v>
      </c>
      <c r="AH42" s="41"/>
      <c r="AI42" s="7">
        <v>0</v>
      </c>
      <c r="AJ42" s="41">
        <f t="shared" si="3"/>
        <v>0</v>
      </c>
      <c r="AK42" s="41"/>
      <c r="AP42" s="57"/>
      <c r="AQ42" s="55"/>
      <c r="AR42" s="58"/>
    </row>
    <row r="43" spans="1:44" ht="18" customHeight="1" x14ac:dyDescent="0.25">
      <c r="A43" s="48"/>
      <c r="B43" s="48"/>
      <c r="C43" s="36" t="s">
        <v>63</v>
      </c>
      <c r="D43" s="27"/>
      <c r="E43" s="50"/>
      <c r="F43" s="50"/>
      <c r="G43" s="50"/>
      <c r="H43" s="50"/>
      <c r="I43" s="50"/>
      <c r="J43" s="50"/>
      <c r="K43" s="37">
        <f t="shared" si="24"/>
        <v>0</v>
      </c>
      <c r="L43" s="50"/>
      <c r="M43" s="50"/>
      <c r="N43" s="50"/>
      <c r="O43" s="50"/>
      <c r="P43" s="50"/>
      <c r="Q43" s="50"/>
      <c r="R43" s="37">
        <f t="shared" si="14"/>
        <v>0</v>
      </c>
      <c r="S43" s="50"/>
      <c r="T43" s="50"/>
      <c r="U43" s="50"/>
      <c r="V43" s="50"/>
      <c r="W43" s="50"/>
      <c r="X43" s="50"/>
      <c r="Y43" s="37">
        <f t="shared" si="15"/>
        <v>0</v>
      </c>
      <c r="Z43" s="50"/>
      <c r="AA43" s="50"/>
      <c r="AB43" s="50"/>
      <c r="AC43" s="50"/>
      <c r="AD43" s="50"/>
      <c r="AE43" s="50"/>
      <c r="AF43" s="37">
        <f t="shared" si="25"/>
        <v>0</v>
      </c>
      <c r="AG43" s="38">
        <f t="shared" si="26"/>
        <v>0</v>
      </c>
      <c r="AH43" s="41"/>
      <c r="AI43" s="7">
        <v>0</v>
      </c>
      <c r="AJ43" s="41">
        <f t="shared" si="3"/>
        <v>0</v>
      </c>
      <c r="AK43" s="41"/>
      <c r="AP43" s="57"/>
      <c r="AQ43" s="55"/>
      <c r="AR43" s="58"/>
    </row>
    <row r="44" spans="1:44" ht="17.25" customHeight="1" x14ac:dyDescent="0.25">
      <c r="A44" s="48"/>
      <c r="B44" s="48"/>
      <c r="C44" s="56" t="s">
        <v>64</v>
      </c>
      <c r="D44" s="27"/>
      <c r="E44" s="50"/>
      <c r="F44" s="50"/>
      <c r="G44" s="50"/>
      <c r="H44" s="50"/>
      <c r="I44" s="50"/>
      <c r="J44" s="50">
        <v>48540</v>
      </c>
      <c r="K44" s="37">
        <f t="shared" si="24"/>
        <v>48540</v>
      </c>
      <c r="L44" s="50"/>
      <c r="M44" s="50"/>
      <c r="N44" s="50"/>
      <c r="O44" s="50"/>
      <c r="P44" s="50"/>
      <c r="Q44" s="50">
        <v>35750</v>
      </c>
      <c r="R44" s="37">
        <f t="shared" si="14"/>
        <v>35750</v>
      </c>
      <c r="S44" s="50"/>
      <c r="T44" s="50"/>
      <c r="U44" s="50"/>
      <c r="V44" s="50"/>
      <c r="W44" s="50"/>
      <c r="X44" s="50"/>
      <c r="Y44" s="37">
        <f t="shared" si="15"/>
        <v>0</v>
      </c>
      <c r="Z44" s="50"/>
      <c r="AA44" s="50"/>
      <c r="AB44" s="50"/>
      <c r="AC44" s="50"/>
      <c r="AD44" s="50"/>
      <c r="AE44" s="50"/>
      <c r="AF44" s="37">
        <f t="shared" si="25"/>
        <v>0</v>
      </c>
      <c r="AG44" s="38">
        <f t="shared" si="26"/>
        <v>84290</v>
      </c>
      <c r="AH44" s="41"/>
      <c r="AI44" s="7">
        <v>84290</v>
      </c>
      <c r="AJ44" s="41">
        <f t="shared" si="3"/>
        <v>0</v>
      </c>
      <c r="AK44" s="41"/>
      <c r="AP44" s="57"/>
      <c r="AQ44" s="55"/>
      <c r="AR44" s="58"/>
    </row>
    <row r="45" spans="1:44" ht="20.25" customHeight="1" x14ac:dyDescent="0.25">
      <c r="A45" s="48"/>
      <c r="B45" s="48"/>
      <c r="C45" s="56" t="s">
        <v>65</v>
      </c>
      <c r="D45" s="27"/>
      <c r="E45" s="50"/>
      <c r="F45" s="50"/>
      <c r="G45" s="50"/>
      <c r="H45" s="50"/>
      <c r="I45" s="50"/>
      <c r="J45" s="50"/>
      <c r="K45" s="37">
        <f t="shared" si="24"/>
        <v>0</v>
      </c>
      <c r="L45" s="50"/>
      <c r="M45" s="50"/>
      <c r="N45" s="50"/>
      <c r="O45" s="50"/>
      <c r="P45" s="50"/>
      <c r="Q45" s="50">
        <f>3746038-3746038</f>
        <v>0</v>
      </c>
      <c r="R45" s="37">
        <f t="shared" si="14"/>
        <v>0</v>
      </c>
      <c r="S45" s="50"/>
      <c r="T45" s="50"/>
      <c r="U45" s="50"/>
      <c r="V45" s="50"/>
      <c r="W45" s="50"/>
      <c r="X45" s="50"/>
      <c r="Y45" s="37">
        <f t="shared" si="15"/>
        <v>0</v>
      </c>
      <c r="Z45" s="50"/>
      <c r="AA45" s="50"/>
      <c r="AB45" s="50"/>
      <c r="AC45" s="50"/>
      <c r="AD45" s="50"/>
      <c r="AE45" s="50"/>
      <c r="AF45" s="37">
        <f t="shared" si="25"/>
        <v>0</v>
      </c>
      <c r="AG45" s="38">
        <f t="shared" si="26"/>
        <v>0</v>
      </c>
      <c r="AH45" s="41"/>
      <c r="AI45" s="7">
        <v>0</v>
      </c>
      <c r="AJ45" s="41">
        <f t="shared" si="3"/>
        <v>0</v>
      </c>
      <c r="AK45" s="41"/>
      <c r="AP45" s="57"/>
      <c r="AQ45" s="55"/>
      <c r="AR45" s="58"/>
    </row>
    <row r="46" spans="1:44" ht="21.75" customHeight="1" x14ac:dyDescent="0.25">
      <c r="A46" s="48"/>
      <c r="B46" s="48"/>
      <c r="C46" s="56" t="s">
        <v>66</v>
      </c>
      <c r="D46" s="27"/>
      <c r="E46" s="50"/>
      <c r="F46" s="50"/>
      <c r="G46" s="50"/>
      <c r="H46" s="50"/>
      <c r="I46" s="50"/>
      <c r="J46" s="50"/>
      <c r="K46" s="37">
        <f t="shared" si="24"/>
        <v>0</v>
      </c>
      <c r="L46" s="50"/>
      <c r="M46" s="50"/>
      <c r="N46" s="50"/>
      <c r="O46" s="50"/>
      <c r="P46" s="50"/>
      <c r="Q46" s="50">
        <v>53742</v>
      </c>
      <c r="R46" s="37">
        <f t="shared" si="14"/>
        <v>53742</v>
      </c>
      <c r="S46" s="50"/>
      <c r="T46" s="50"/>
      <c r="U46" s="50"/>
      <c r="V46" s="50"/>
      <c r="W46" s="50"/>
      <c r="X46" s="50"/>
      <c r="Y46" s="37">
        <f t="shared" si="15"/>
        <v>0</v>
      </c>
      <c r="Z46" s="50"/>
      <c r="AA46" s="50"/>
      <c r="AB46" s="50"/>
      <c r="AC46" s="50"/>
      <c r="AD46" s="50"/>
      <c r="AE46" s="50"/>
      <c r="AF46" s="37">
        <f t="shared" si="25"/>
        <v>0</v>
      </c>
      <c r="AG46" s="38">
        <f t="shared" si="26"/>
        <v>53742</v>
      </c>
      <c r="AH46" s="41"/>
      <c r="AI46" s="7">
        <v>53742</v>
      </c>
      <c r="AJ46" s="41">
        <f t="shared" si="3"/>
        <v>0</v>
      </c>
      <c r="AK46" s="41"/>
      <c r="AP46" s="57"/>
      <c r="AQ46" s="55"/>
      <c r="AR46" s="58"/>
    </row>
    <row r="47" spans="1:44" ht="19.5" customHeight="1" x14ac:dyDescent="0.25">
      <c r="A47" s="48"/>
      <c r="B47" s="48"/>
      <c r="C47" s="56" t="s">
        <v>67</v>
      </c>
      <c r="D47" s="27"/>
      <c r="E47" s="50"/>
      <c r="F47" s="50"/>
      <c r="G47" s="50"/>
      <c r="H47" s="50"/>
      <c r="I47" s="50"/>
      <c r="J47" s="50"/>
      <c r="K47" s="37">
        <f t="shared" si="24"/>
        <v>0</v>
      </c>
      <c r="L47" s="50"/>
      <c r="M47" s="50"/>
      <c r="N47" s="50"/>
      <c r="O47" s="50"/>
      <c r="P47" s="50"/>
      <c r="Q47" s="50">
        <v>180540</v>
      </c>
      <c r="R47" s="37">
        <f t="shared" si="14"/>
        <v>180540</v>
      </c>
      <c r="S47" s="50"/>
      <c r="T47" s="50"/>
      <c r="U47" s="50"/>
      <c r="V47" s="50"/>
      <c r="W47" s="50"/>
      <c r="X47" s="50"/>
      <c r="Y47" s="37">
        <f t="shared" si="15"/>
        <v>0</v>
      </c>
      <c r="Z47" s="50"/>
      <c r="AA47" s="50"/>
      <c r="AB47" s="50"/>
      <c r="AC47" s="50"/>
      <c r="AD47" s="50"/>
      <c r="AE47" s="50"/>
      <c r="AF47" s="37">
        <f t="shared" si="25"/>
        <v>0</v>
      </c>
      <c r="AG47" s="38">
        <f t="shared" si="26"/>
        <v>180540</v>
      </c>
      <c r="AH47" s="41"/>
      <c r="AI47" s="7">
        <v>180540</v>
      </c>
      <c r="AJ47" s="41">
        <f t="shared" si="3"/>
        <v>0</v>
      </c>
      <c r="AK47" s="41"/>
      <c r="AP47" s="57"/>
      <c r="AQ47" s="55"/>
      <c r="AR47" s="58"/>
    </row>
    <row r="48" spans="1:44" ht="19.5" customHeight="1" x14ac:dyDescent="0.25">
      <c r="A48" s="48"/>
      <c r="B48" s="48"/>
      <c r="C48" s="56" t="s">
        <v>68</v>
      </c>
      <c r="D48" s="27"/>
      <c r="E48" s="50"/>
      <c r="F48" s="50"/>
      <c r="G48" s="50"/>
      <c r="H48" s="50"/>
      <c r="I48" s="50"/>
      <c r="J48" s="50"/>
      <c r="K48" s="37">
        <f t="shared" si="24"/>
        <v>0</v>
      </c>
      <c r="L48" s="50"/>
      <c r="M48" s="50"/>
      <c r="N48" s="50"/>
      <c r="O48" s="50"/>
      <c r="P48" s="50"/>
      <c r="Q48" s="50"/>
      <c r="R48" s="37">
        <f t="shared" si="14"/>
        <v>0</v>
      </c>
      <c r="S48" s="50"/>
      <c r="T48" s="50"/>
      <c r="U48" s="50"/>
      <c r="V48" s="50"/>
      <c r="W48" s="50"/>
      <c r="X48" s="50"/>
      <c r="Y48" s="37">
        <f t="shared" si="15"/>
        <v>0</v>
      </c>
      <c r="Z48" s="50"/>
      <c r="AA48" s="50">
        <v>38138</v>
      </c>
      <c r="AB48" s="50"/>
      <c r="AC48" s="50"/>
      <c r="AD48" s="50"/>
      <c r="AE48" s="50"/>
      <c r="AF48" s="37">
        <f t="shared" si="25"/>
        <v>38138</v>
      </c>
      <c r="AG48" s="38">
        <f t="shared" si="26"/>
        <v>38138</v>
      </c>
      <c r="AH48" s="41"/>
      <c r="AI48" s="7">
        <v>38138</v>
      </c>
      <c r="AJ48" s="41">
        <f t="shared" si="3"/>
        <v>0</v>
      </c>
      <c r="AK48" s="41"/>
      <c r="AP48" s="57"/>
      <c r="AQ48" s="55"/>
      <c r="AR48" s="58"/>
    </row>
    <row r="49" spans="1:44" ht="19.5" customHeight="1" x14ac:dyDescent="0.25">
      <c r="A49" s="48"/>
      <c r="B49" s="48"/>
      <c r="C49" s="56" t="s">
        <v>69</v>
      </c>
      <c r="D49" s="27"/>
      <c r="E49" s="50"/>
      <c r="F49" s="50"/>
      <c r="G49" s="50"/>
      <c r="H49" s="50"/>
      <c r="I49" s="50"/>
      <c r="J49" s="50"/>
      <c r="K49" s="37">
        <f t="shared" si="24"/>
        <v>0</v>
      </c>
      <c r="L49" s="50"/>
      <c r="M49" s="50"/>
      <c r="N49" s="50"/>
      <c r="O49" s="50"/>
      <c r="P49" s="50"/>
      <c r="Q49" s="50"/>
      <c r="R49" s="37">
        <f t="shared" si="14"/>
        <v>0</v>
      </c>
      <c r="S49" s="50"/>
      <c r="T49" s="50"/>
      <c r="U49" s="50"/>
      <c r="V49" s="50"/>
      <c r="W49" s="50"/>
      <c r="X49" s="50"/>
      <c r="Y49" s="37">
        <f t="shared" si="15"/>
        <v>0</v>
      </c>
      <c r="Z49" s="50"/>
      <c r="AA49" s="50"/>
      <c r="AB49" s="50"/>
      <c r="AC49" s="50"/>
      <c r="AD49" s="50"/>
      <c r="AE49" s="50"/>
      <c r="AF49" s="37">
        <f t="shared" si="25"/>
        <v>0</v>
      </c>
      <c r="AG49" s="38">
        <f t="shared" si="26"/>
        <v>0</v>
      </c>
      <c r="AH49" s="41"/>
      <c r="AI49" s="7">
        <v>0</v>
      </c>
      <c r="AJ49" s="41">
        <f t="shared" si="3"/>
        <v>0</v>
      </c>
      <c r="AK49" s="41"/>
      <c r="AP49" s="57"/>
      <c r="AQ49" s="55"/>
      <c r="AR49" s="58"/>
    </row>
    <row r="50" spans="1:44" ht="17.25" customHeight="1" x14ac:dyDescent="0.25">
      <c r="A50" s="48"/>
      <c r="B50" s="48"/>
      <c r="C50" s="46" t="s">
        <v>37</v>
      </c>
      <c r="D50" s="27"/>
      <c r="E50" s="50"/>
      <c r="F50" s="50"/>
      <c r="G50" s="51"/>
      <c r="H50" s="48"/>
      <c r="I50" s="51"/>
      <c r="J50" s="51">
        <v>172781</v>
      </c>
      <c r="K50" s="37">
        <f t="shared" si="24"/>
        <v>172781</v>
      </c>
      <c r="L50" s="38"/>
      <c r="M50" s="50"/>
      <c r="N50" s="50"/>
      <c r="O50" s="51"/>
      <c r="P50" s="48"/>
      <c r="Q50" s="51"/>
      <c r="R50" s="37">
        <f t="shared" si="14"/>
        <v>0</v>
      </c>
      <c r="S50" s="38"/>
      <c r="T50" s="38"/>
      <c r="U50" s="51"/>
      <c r="V50" s="51"/>
      <c r="W50" s="51"/>
      <c r="X50" s="51"/>
      <c r="Y50" s="37">
        <f t="shared" si="15"/>
        <v>0</v>
      </c>
      <c r="Z50" s="51"/>
      <c r="AA50" s="38"/>
      <c r="AB50" s="38"/>
      <c r="AC50" s="51"/>
      <c r="AD50" s="51"/>
      <c r="AE50" s="51"/>
      <c r="AF50" s="37">
        <f t="shared" si="25"/>
        <v>0</v>
      </c>
      <c r="AG50" s="38">
        <f t="shared" si="26"/>
        <v>172781</v>
      </c>
      <c r="AH50" s="41">
        <f t="shared" si="6"/>
        <v>172781</v>
      </c>
      <c r="AI50" s="7">
        <v>172781</v>
      </c>
      <c r="AJ50" s="41">
        <f t="shared" si="3"/>
        <v>0</v>
      </c>
      <c r="AK50" s="41"/>
      <c r="AP50" s="57" t="s">
        <v>70</v>
      </c>
      <c r="AQ50" s="55"/>
      <c r="AR50" s="58">
        <f>AG59</f>
        <v>22000</v>
      </c>
    </row>
    <row r="51" spans="1:44" s="8" customFormat="1" ht="42" customHeight="1" x14ac:dyDescent="0.25">
      <c r="A51" s="35">
        <v>244</v>
      </c>
      <c r="B51" s="35">
        <v>341</v>
      </c>
      <c r="C51" s="36" t="s">
        <v>71</v>
      </c>
      <c r="D51" s="28"/>
      <c r="E51" s="37"/>
      <c r="F51" s="37"/>
      <c r="G51" s="38"/>
      <c r="H51" s="35"/>
      <c r="I51" s="38">
        <v>129</v>
      </c>
      <c r="J51" s="38">
        <f>64100-40100</f>
        <v>24000</v>
      </c>
      <c r="K51" s="37">
        <f t="shared" si="24"/>
        <v>24000</v>
      </c>
      <c r="L51" s="38">
        <v>0</v>
      </c>
      <c r="M51" s="37">
        <v>0</v>
      </c>
      <c r="N51" s="37">
        <v>0</v>
      </c>
      <c r="O51" s="38">
        <v>0</v>
      </c>
      <c r="P51" s="35">
        <v>0</v>
      </c>
      <c r="Q51" s="38">
        <v>0</v>
      </c>
      <c r="R51" s="37">
        <f>Q51+O51+M51</f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7">
        <f>X51+V51+T51</f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7">
        <f t="shared" si="25"/>
        <v>0</v>
      </c>
      <c r="AG51" s="38">
        <f t="shared" si="26"/>
        <v>24000</v>
      </c>
      <c r="AH51" s="41">
        <f t="shared" si="6"/>
        <v>24000</v>
      </c>
      <c r="AI51" s="8">
        <v>24000</v>
      </c>
      <c r="AJ51" s="41">
        <f t="shared" si="3"/>
        <v>0</v>
      </c>
      <c r="AK51" s="41">
        <f t="shared" si="4"/>
        <v>-24000</v>
      </c>
      <c r="AP51" s="57" t="s">
        <v>72</v>
      </c>
      <c r="AQ51" s="55"/>
      <c r="AR51" s="58">
        <f>AG61</f>
        <v>70100</v>
      </c>
    </row>
    <row r="52" spans="1:44" s="8" customFormat="1" ht="21.75" customHeight="1" x14ac:dyDescent="0.25">
      <c r="A52" s="35">
        <v>244</v>
      </c>
      <c r="B52" s="35">
        <v>342</v>
      </c>
      <c r="C52" s="36" t="s">
        <v>73</v>
      </c>
      <c r="D52" s="28"/>
      <c r="E52" s="37"/>
      <c r="F52" s="37"/>
      <c r="G52" s="38">
        <v>0</v>
      </c>
      <c r="H52" s="35">
        <f>129888+122672</f>
        <v>252560</v>
      </c>
      <c r="I52" s="38">
        <v>0</v>
      </c>
      <c r="J52" s="38">
        <v>158752</v>
      </c>
      <c r="K52" s="37">
        <f t="shared" si="24"/>
        <v>411312</v>
      </c>
      <c r="L52" s="38">
        <v>0</v>
      </c>
      <c r="M52" s="37">
        <v>144320</v>
      </c>
      <c r="N52" s="37">
        <v>0</v>
      </c>
      <c r="O52" s="38">
        <v>144320</v>
      </c>
      <c r="P52" s="35">
        <v>0</v>
      </c>
      <c r="Q52" s="38">
        <v>151536</v>
      </c>
      <c r="R52" s="37">
        <f>Q52+O52+M52</f>
        <v>440176</v>
      </c>
      <c r="S52" s="38">
        <v>0</v>
      </c>
      <c r="T52" s="38">
        <v>151536</v>
      </c>
      <c r="U52" s="38">
        <v>0</v>
      </c>
      <c r="V52" s="38">
        <v>165968</v>
      </c>
      <c r="W52" s="38">
        <v>0</v>
      </c>
      <c r="X52" s="38">
        <v>151536</v>
      </c>
      <c r="Y52" s="37">
        <f>X52+V52+T52</f>
        <v>469040</v>
      </c>
      <c r="Z52" s="38">
        <v>0</v>
      </c>
      <c r="AA52" s="38">
        <v>158752</v>
      </c>
      <c r="AB52" s="38">
        <v>0</v>
      </c>
      <c r="AC52" s="38">
        <v>151536</v>
      </c>
      <c r="AD52" s="38">
        <v>0</v>
      </c>
      <c r="AE52" s="38">
        <v>151536</v>
      </c>
      <c r="AF52" s="37">
        <f t="shared" si="25"/>
        <v>461824</v>
      </c>
      <c r="AG52" s="38">
        <f t="shared" si="26"/>
        <v>1782352</v>
      </c>
      <c r="AH52" s="41">
        <f t="shared" si="6"/>
        <v>555632</v>
      </c>
      <c r="AI52" s="8">
        <v>1782352</v>
      </c>
      <c r="AJ52" s="41">
        <f t="shared" si="3"/>
        <v>0</v>
      </c>
      <c r="AK52" s="41">
        <f t="shared" si="4"/>
        <v>-555632</v>
      </c>
      <c r="AP52" s="57" t="s">
        <v>74</v>
      </c>
      <c r="AQ52" s="55"/>
      <c r="AR52" s="58">
        <f>AG62</f>
        <v>46600</v>
      </c>
    </row>
    <row r="53" spans="1:44" s="8" customFormat="1" ht="19.5" customHeight="1" x14ac:dyDescent="0.25">
      <c r="A53" s="35">
        <v>244</v>
      </c>
      <c r="B53" s="35">
        <v>345</v>
      </c>
      <c r="C53" s="36" t="s">
        <v>75</v>
      </c>
      <c r="D53" s="28"/>
      <c r="E53" s="37">
        <f>E54+E55</f>
        <v>0</v>
      </c>
      <c r="F53" s="37">
        <f t="shared" ref="F53:AG53" si="27">F54+F55</f>
        <v>0</v>
      </c>
      <c r="G53" s="37">
        <f t="shared" si="27"/>
        <v>0</v>
      </c>
      <c r="H53" s="37">
        <f t="shared" si="27"/>
        <v>0</v>
      </c>
      <c r="I53" s="37">
        <f t="shared" si="27"/>
        <v>1440</v>
      </c>
      <c r="J53" s="37">
        <f t="shared" si="27"/>
        <v>754920</v>
      </c>
      <c r="K53" s="37">
        <f t="shared" si="27"/>
        <v>754920</v>
      </c>
      <c r="L53" s="37">
        <f t="shared" si="27"/>
        <v>0</v>
      </c>
      <c r="M53" s="37">
        <f t="shared" si="27"/>
        <v>0</v>
      </c>
      <c r="N53" s="37">
        <f t="shared" si="27"/>
        <v>0</v>
      </c>
      <c r="O53" s="37">
        <f t="shared" si="27"/>
        <v>0</v>
      </c>
      <c r="P53" s="37">
        <f t="shared" si="27"/>
        <v>0</v>
      </c>
      <c r="Q53" s="37">
        <f t="shared" si="27"/>
        <v>393280</v>
      </c>
      <c r="R53" s="37">
        <f t="shared" si="27"/>
        <v>393280</v>
      </c>
      <c r="S53" s="37">
        <f t="shared" si="27"/>
        <v>0</v>
      </c>
      <c r="T53" s="37">
        <f t="shared" si="27"/>
        <v>0</v>
      </c>
      <c r="U53" s="37">
        <f t="shared" si="27"/>
        <v>0</v>
      </c>
      <c r="V53" s="37">
        <f t="shared" si="27"/>
        <v>0</v>
      </c>
      <c r="W53" s="37">
        <f t="shared" si="27"/>
        <v>0</v>
      </c>
      <c r="X53" s="37">
        <f t="shared" si="27"/>
        <v>0</v>
      </c>
      <c r="Y53" s="37">
        <f t="shared" si="27"/>
        <v>0</v>
      </c>
      <c r="Z53" s="37">
        <f t="shared" si="27"/>
        <v>0</v>
      </c>
      <c r="AA53" s="37">
        <f t="shared" si="27"/>
        <v>0</v>
      </c>
      <c r="AB53" s="37">
        <f t="shared" si="27"/>
        <v>0</v>
      </c>
      <c r="AC53" s="37">
        <f t="shared" si="27"/>
        <v>0</v>
      </c>
      <c r="AD53" s="37">
        <f t="shared" si="27"/>
        <v>0</v>
      </c>
      <c r="AE53" s="37">
        <f t="shared" si="27"/>
        <v>0</v>
      </c>
      <c r="AF53" s="37">
        <f t="shared" si="27"/>
        <v>0</v>
      </c>
      <c r="AG53" s="37">
        <f t="shared" si="27"/>
        <v>1148200</v>
      </c>
      <c r="AH53" s="41">
        <f t="shared" si="6"/>
        <v>754920</v>
      </c>
      <c r="AI53" s="8">
        <v>1148200</v>
      </c>
      <c r="AJ53" s="41">
        <f t="shared" si="3"/>
        <v>0</v>
      </c>
      <c r="AK53" s="41"/>
      <c r="AP53" s="57" t="s">
        <v>64</v>
      </c>
      <c r="AQ53" s="55"/>
      <c r="AR53" s="58">
        <f>AG63</f>
        <v>28560</v>
      </c>
    </row>
    <row r="54" spans="1:44" s="8" customFormat="1" x14ac:dyDescent="0.25">
      <c r="A54" s="35"/>
      <c r="B54" s="35"/>
      <c r="C54" s="45" t="s">
        <v>76</v>
      </c>
      <c r="D54" s="28"/>
      <c r="E54" s="37"/>
      <c r="F54" s="37"/>
      <c r="G54" s="38"/>
      <c r="H54" s="35"/>
      <c r="I54" s="38">
        <v>1440</v>
      </c>
      <c r="J54" s="38">
        <f>765000-10080</f>
        <v>754920</v>
      </c>
      <c r="K54" s="37">
        <f>J54+H54+F54</f>
        <v>754920</v>
      </c>
      <c r="L54" s="38">
        <v>0</v>
      </c>
      <c r="M54" s="37">
        <v>0</v>
      </c>
      <c r="N54" s="37">
        <v>0</v>
      </c>
      <c r="O54" s="38">
        <v>0</v>
      </c>
      <c r="P54" s="35">
        <v>0</v>
      </c>
      <c r="Q54" s="38">
        <v>393280</v>
      </c>
      <c r="R54" s="37">
        <f>Q54+O54+M54</f>
        <v>393280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7">
        <f>X54+V54+T54</f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7">
        <f>AE54+AC54+AA54</f>
        <v>0</v>
      </c>
      <c r="AG54" s="38">
        <f>AF54+Y54+R54+K54</f>
        <v>1148200</v>
      </c>
      <c r="AH54" s="41">
        <f t="shared" si="6"/>
        <v>754920</v>
      </c>
      <c r="AI54" s="8">
        <v>1148200</v>
      </c>
      <c r="AJ54" s="41">
        <f t="shared" si="3"/>
        <v>0</v>
      </c>
      <c r="AK54" s="41">
        <f t="shared" si="4"/>
        <v>-754920</v>
      </c>
      <c r="AP54" s="32">
        <v>223</v>
      </c>
      <c r="AQ54" s="33">
        <f>SUM(AQ55:AQ56)</f>
        <v>0</v>
      </c>
      <c r="AR54" s="33">
        <f>SUM(AR55:AR56)</f>
        <v>1289449.1400000001</v>
      </c>
    </row>
    <row r="55" spans="1:44" s="8" customFormat="1" x14ac:dyDescent="0.25">
      <c r="A55" s="35"/>
      <c r="B55" s="35"/>
      <c r="C55" s="46" t="s">
        <v>37</v>
      </c>
      <c r="D55" s="28"/>
      <c r="E55" s="37"/>
      <c r="F55" s="37"/>
      <c r="G55" s="38"/>
      <c r="H55" s="35"/>
      <c r="I55" s="38"/>
      <c r="J55" s="38"/>
      <c r="K55" s="37">
        <f>J55+H55+F55</f>
        <v>0</v>
      </c>
      <c r="L55" s="38"/>
      <c r="M55" s="37"/>
      <c r="N55" s="37"/>
      <c r="O55" s="38"/>
      <c r="P55" s="35"/>
      <c r="Q55" s="38"/>
      <c r="R55" s="37">
        <f>Q55+O55+M55</f>
        <v>0</v>
      </c>
      <c r="S55" s="38"/>
      <c r="T55" s="38"/>
      <c r="U55" s="38"/>
      <c r="V55" s="38"/>
      <c r="W55" s="38"/>
      <c r="X55" s="38"/>
      <c r="Y55" s="37">
        <f>X55+V55+T55</f>
        <v>0</v>
      </c>
      <c r="Z55" s="38"/>
      <c r="AA55" s="38"/>
      <c r="AB55" s="38"/>
      <c r="AC55" s="38"/>
      <c r="AD55" s="38"/>
      <c r="AE55" s="38"/>
      <c r="AF55" s="37">
        <f>AE55+AC55+AA55</f>
        <v>0</v>
      </c>
      <c r="AG55" s="38">
        <f>AF55+Y55+R55+K55</f>
        <v>0</v>
      </c>
      <c r="AH55" s="41">
        <f t="shared" si="6"/>
        <v>0</v>
      </c>
      <c r="AI55" s="8">
        <v>0</v>
      </c>
      <c r="AJ55" s="41">
        <f t="shared" si="3"/>
        <v>0</v>
      </c>
      <c r="AK55" s="41"/>
      <c r="AP55" s="47" t="s">
        <v>77</v>
      </c>
      <c r="AQ55" s="33"/>
      <c r="AR55" s="53">
        <f>AG69</f>
        <v>594517.82000000007</v>
      </c>
    </row>
    <row r="56" spans="1:44" s="8" customFormat="1" ht="24" customHeight="1" x14ac:dyDescent="0.25">
      <c r="A56" s="35">
        <v>244</v>
      </c>
      <c r="B56" s="35">
        <v>346</v>
      </c>
      <c r="C56" s="36" t="s">
        <v>78</v>
      </c>
      <c r="D56" s="28" t="s">
        <v>79</v>
      </c>
      <c r="E56" s="37">
        <f>E57+E61+E62+E63+E67+E60+E64+E65+E66</f>
        <v>0</v>
      </c>
      <c r="F56" s="37">
        <f t="shared" ref="F56:J56" si="28">F57+F61+F62+F63+F67+F60+F64+F65+F66</f>
        <v>0</v>
      </c>
      <c r="G56" s="37">
        <f t="shared" si="28"/>
        <v>0</v>
      </c>
      <c r="H56" s="37">
        <f t="shared" si="28"/>
        <v>0</v>
      </c>
      <c r="I56" s="37">
        <f t="shared" si="28"/>
        <v>1190</v>
      </c>
      <c r="J56" s="37">
        <f t="shared" si="28"/>
        <v>197582.5</v>
      </c>
      <c r="K56" s="37">
        <f>K57+K61+K62+K63+K67+K60+K64+K66+K65</f>
        <v>197582.5</v>
      </c>
      <c r="L56" s="37">
        <f>L57+L61+L62+L63+L67+L60+L64+L65+L66</f>
        <v>0</v>
      </c>
      <c r="M56" s="37">
        <f t="shared" ref="M56:Q56" si="29">M57+M61+M62+M63+M67+M60+M64+M65+M66</f>
        <v>0</v>
      </c>
      <c r="N56" s="37">
        <f t="shared" si="29"/>
        <v>0</v>
      </c>
      <c r="O56" s="37">
        <f t="shared" si="29"/>
        <v>0</v>
      </c>
      <c r="P56" s="37">
        <f t="shared" si="29"/>
        <v>0</v>
      </c>
      <c r="Q56" s="37">
        <f t="shared" si="29"/>
        <v>0</v>
      </c>
      <c r="R56" s="37">
        <f>R57+R61+R62+R63+R67+R60+R64+R66+R65</f>
        <v>0</v>
      </c>
      <c r="S56" s="37">
        <f>S57+S61+S62+S63+S67+S60+S64+S65+S66</f>
        <v>0</v>
      </c>
      <c r="T56" s="37">
        <f t="shared" ref="T56:W56" si="30">T57+T61+T62+T63+T67+T60+T64+T65+T66</f>
        <v>0</v>
      </c>
      <c r="U56" s="37">
        <f t="shared" si="30"/>
        <v>0</v>
      </c>
      <c r="V56" s="37">
        <f t="shared" si="30"/>
        <v>0</v>
      </c>
      <c r="W56" s="37">
        <f t="shared" si="30"/>
        <v>0</v>
      </c>
      <c r="X56" s="37">
        <f>X57+X61+X62+X63+X67+X60+X64+X65+X66</f>
        <v>0</v>
      </c>
      <c r="Y56" s="37">
        <f>Y57+Y61+Y62+Y63+Y67+Y60+Y64+Y66+Y65</f>
        <v>0</v>
      </c>
      <c r="Z56" s="37">
        <f>Z57+Z61+Z62+Z63+Z67+Z60+Z64+Z66+Z65</f>
        <v>0</v>
      </c>
      <c r="AA56" s="37">
        <f t="shared" ref="AA56:AE56" si="31">AA57+AA61+AA62+AA63+AA67+AA60+AA64+AA66+AA65</f>
        <v>13165</v>
      </c>
      <c r="AB56" s="37">
        <f t="shared" si="31"/>
        <v>0</v>
      </c>
      <c r="AC56" s="37">
        <f t="shared" si="31"/>
        <v>0</v>
      </c>
      <c r="AD56" s="37">
        <f t="shared" si="31"/>
        <v>0</v>
      </c>
      <c r="AE56" s="37">
        <f t="shared" si="31"/>
        <v>0</v>
      </c>
      <c r="AF56" s="37">
        <f>AF57+AF61+AF62+AF63+AF67+AF60+AF64+AF66+AF65</f>
        <v>13165</v>
      </c>
      <c r="AG56" s="37">
        <f>AG57+AG61+AG62+AG63+AG67+AG60+AG64+AG66+AG65</f>
        <v>210747.5</v>
      </c>
      <c r="AH56" s="41">
        <f t="shared" si="6"/>
        <v>197582.5</v>
      </c>
      <c r="AI56" s="8">
        <v>210747.5</v>
      </c>
      <c r="AJ56" s="41">
        <f t="shared" si="3"/>
        <v>0</v>
      </c>
      <c r="AK56" s="41">
        <f t="shared" si="4"/>
        <v>-197582.5</v>
      </c>
      <c r="AP56" s="47" t="s">
        <v>80</v>
      </c>
      <c r="AQ56" s="59"/>
      <c r="AR56" s="53">
        <f>AG70</f>
        <v>694931.32000000007</v>
      </c>
    </row>
    <row r="57" spans="1:44" ht="17.25" customHeight="1" x14ac:dyDescent="0.25">
      <c r="A57" s="48"/>
      <c r="B57" s="48"/>
      <c r="C57" s="60" t="s">
        <v>81</v>
      </c>
      <c r="D57" s="27" t="s">
        <v>79</v>
      </c>
      <c r="E57" s="50">
        <f t="shared" ref="E57:AF57" si="32">E58+E59</f>
        <v>0</v>
      </c>
      <c r="F57" s="50">
        <f t="shared" si="32"/>
        <v>0</v>
      </c>
      <c r="G57" s="50">
        <f t="shared" si="32"/>
        <v>0</v>
      </c>
      <c r="H57" s="50">
        <f t="shared" si="32"/>
        <v>0</v>
      </c>
      <c r="I57" s="50">
        <f t="shared" si="32"/>
        <v>185</v>
      </c>
      <c r="J57" s="50">
        <f t="shared" si="32"/>
        <v>46910</v>
      </c>
      <c r="K57" s="50">
        <f t="shared" si="32"/>
        <v>46910</v>
      </c>
      <c r="L57" s="50">
        <f t="shared" si="32"/>
        <v>0</v>
      </c>
      <c r="M57" s="50">
        <f t="shared" si="32"/>
        <v>0</v>
      </c>
      <c r="N57" s="50">
        <f t="shared" si="32"/>
        <v>0</v>
      </c>
      <c r="O57" s="50">
        <f t="shared" si="32"/>
        <v>0</v>
      </c>
      <c r="P57" s="50">
        <f t="shared" si="32"/>
        <v>0</v>
      </c>
      <c r="Q57" s="50">
        <f t="shared" si="32"/>
        <v>0</v>
      </c>
      <c r="R57" s="50">
        <f t="shared" si="32"/>
        <v>0</v>
      </c>
      <c r="S57" s="50">
        <f t="shared" si="32"/>
        <v>0</v>
      </c>
      <c r="T57" s="50">
        <f t="shared" si="32"/>
        <v>0</v>
      </c>
      <c r="U57" s="50">
        <f t="shared" si="32"/>
        <v>0</v>
      </c>
      <c r="V57" s="50">
        <f t="shared" si="32"/>
        <v>0</v>
      </c>
      <c r="W57" s="50">
        <f t="shared" si="32"/>
        <v>0</v>
      </c>
      <c r="X57" s="50">
        <f t="shared" si="32"/>
        <v>0</v>
      </c>
      <c r="Y57" s="50">
        <f t="shared" si="32"/>
        <v>0</v>
      </c>
      <c r="Z57" s="50">
        <f t="shared" si="32"/>
        <v>0</v>
      </c>
      <c r="AA57" s="50">
        <f t="shared" si="32"/>
        <v>0</v>
      </c>
      <c r="AB57" s="50">
        <f t="shared" si="32"/>
        <v>0</v>
      </c>
      <c r="AC57" s="50">
        <f t="shared" si="32"/>
        <v>0</v>
      </c>
      <c r="AD57" s="50">
        <f t="shared" si="32"/>
        <v>0</v>
      </c>
      <c r="AE57" s="50">
        <f t="shared" si="32"/>
        <v>0</v>
      </c>
      <c r="AF57" s="50">
        <f t="shared" si="32"/>
        <v>0</v>
      </c>
      <c r="AG57" s="38">
        <f t="shared" ref="AG57:AG72" si="33">AF57+Y57+R57+K57</f>
        <v>46910</v>
      </c>
      <c r="AH57" s="41">
        <f t="shared" si="6"/>
        <v>46910</v>
      </c>
      <c r="AI57" s="7">
        <v>46910</v>
      </c>
      <c r="AJ57" s="41">
        <f t="shared" si="3"/>
        <v>0</v>
      </c>
      <c r="AK57" s="41">
        <f t="shared" si="4"/>
        <v>-46910</v>
      </c>
    </row>
    <row r="58" spans="1:44" ht="15" customHeight="1" x14ac:dyDescent="0.25">
      <c r="A58" s="48"/>
      <c r="B58" s="48"/>
      <c r="C58" s="61" t="s">
        <v>60</v>
      </c>
      <c r="D58" s="27" t="s">
        <v>79</v>
      </c>
      <c r="E58" s="50"/>
      <c r="F58" s="50"/>
      <c r="G58" s="51"/>
      <c r="H58" s="48"/>
      <c r="I58" s="51">
        <v>141</v>
      </c>
      <c r="J58" s="51">
        <v>24910</v>
      </c>
      <c r="K58" s="37">
        <f t="shared" ref="K58:K67" si="34">J58+H58+F58</f>
        <v>24910</v>
      </c>
      <c r="L58" s="38">
        <v>0</v>
      </c>
      <c r="M58" s="50">
        <v>0</v>
      </c>
      <c r="N58" s="50">
        <v>0</v>
      </c>
      <c r="O58" s="51">
        <v>0</v>
      </c>
      <c r="P58" s="48">
        <v>0</v>
      </c>
      <c r="Q58" s="51">
        <v>0</v>
      </c>
      <c r="R58" s="37">
        <f t="shared" ref="R58:R67" si="35">Q58+O58+M58</f>
        <v>0</v>
      </c>
      <c r="S58" s="38">
        <v>0</v>
      </c>
      <c r="T58" s="38">
        <v>0</v>
      </c>
      <c r="U58" s="51">
        <v>0</v>
      </c>
      <c r="V58" s="51">
        <v>0</v>
      </c>
      <c r="W58" s="51">
        <v>0</v>
      </c>
      <c r="X58" s="51">
        <v>0</v>
      </c>
      <c r="Y58" s="37">
        <f t="shared" ref="Y58:Y67" si="36">X58+V58+T58</f>
        <v>0</v>
      </c>
      <c r="Z58" s="51">
        <v>0</v>
      </c>
      <c r="AA58" s="38">
        <v>0</v>
      </c>
      <c r="AB58" s="38">
        <v>0</v>
      </c>
      <c r="AC58" s="51">
        <v>0</v>
      </c>
      <c r="AD58" s="51">
        <v>0</v>
      </c>
      <c r="AE58" s="51">
        <v>0</v>
      </c>
      <c r="AF58" s="37">
        <f t="shared" ref="AF58:AF67" si="37">AE58+AC58+AA58</f>
        <v>0</v>
      </c>
      <c r="AG58" s="38">
        <f t="shared" si="33"/>
        <v>24910</v>
      </c>
      <c r="AH58" s="41">
        <f t="shared" si="6"/>
        <v>24910</v>
      </c>
      <c r="AI58" s="7">
        <v>24910</v>
      </c>
      <c r="AJ58" s="41">
        <f t="shared" si="3"/>
        <v>0</v>
      </c>
      <c r="AK58" s="41">
        <f t="shared" si="4"/>
        <v>-24910</v>
      </c>
    </row>
    <row r="59" spans="1:44" ht="15" customHeight="1" x14ac:dyDescent="0.25">
      <c r="A59" s="48"/>
      <c r="B59" s="48"/>
      <c r="C59" s="61" t="s">
        <v>70</v>
      </c>
      <c r="D59" s="27" t="s">
        <v>79</v>
      </c>
      <c r="E59" s="50"/>
      <c r="F59" s="50"/>
      <c r="G59" s="51"/>
      <c r="H59" s="48"/>
      <c r="I59" s="51">
        <v>44</v>
      </c>
      <c r="J59" s="51">
        <v>22000</v>
      </c>
      <c r="K59" s="37">
        <f t="shared" si="34"/>
        <v>22000</v>
      </c>
      <c r="L59" s="38">
        <v>0</v>
      </c>
      <c r="M59" s="50">
        <v>0</v>
      </c>
      <c r="N59" s="50">
        <v>0</v>
      </c>
      <c r="O59" s="51">
        <v>0</v>
      </c>
      <c r="P59" s="48">
        <v>0</v>
      </c>
      <c r="Q59" s="51">
        <v>0</v>
      </c>
      <c r="R59" s="37">
        <f t="shared" si="35"/>
        <v>0</v>
      </c>
      <c r="S59" s="38">
        <v>0</v>
      </c>
      <c r="T59" s="38">
        <v>0</v>
      </c>
      <c r="U59" s="51">
        <v>0</v>
      </c>
      <c r="V59" s="51">
        <v>0</v>
      </c>
      <c r="W59" s="51">
        <v>0</v>
      </c>
      <c r="X59" s="51">
        <v>0</v>
      </c>
      <c r="Y59" s="37">
        <f t="shared" si="36"/>
        <v>0</v>
      </c>
      <c r="Z59" s="51">
        <v>0</v>
      </c>
      <c r="AA59" s="38">
        <v>0</v>
      </c>
      <c r="AB59" s="38">
        <v>0</v>
      </c>
      <c r="AC59" s="51">
        <v>0</v>
      </c>
      <c r="AD59" s="51">
        <v>0</v>
      </c>
      <c r="AE59" s="51">
        <v>0</v>
      </c>
      <c r="AF59" s="37">
        <f t="shared" si="37"/>
        <v>0</v>
      </c>
      <c r="AG59" s="38">
        <f t="shared" si="33"/>
        <v>22000</v>
      </c>
      <c r="AH59" s="41">
        <f t="shared" si="6"/>
        <v>22000</v>
      </c>
      <c r="AI59" s="7">
        <v>22000</v>
      </c>
      <c r="AJ59" s="41">
        <f t="shared" si="3"/>
        <v>0</v>
      </c>
      <c r="AK59" s="41">
        <f t="shared" si="4"/>
        <v>-22000</v>
      </c>
    </row>
    <row r="60" spans="1:44" ht="15" customHeight="1" x14ac:dyDescent="0.25">
      <c r="A60" s="48"/>
      <c r="B60" s="48"/>
      <c r="C60" s="60" t="s">
        <v>82</v>
      </c>
      <c r="D60" s="27" t="s">
        <v>79</v>
      </c>
      <c r="E60" s="50"/>
      <c r="F60" s="50"/>
      <c r="G60" s="51"/>
      <c r="H60" s="48"/>
      <c r="I60" s="51"/>
      <c r="J60" s="51"/>
      <c r="K60" s="37">
        <f t="shared" si="34"/>
        <v>0</v>
      </c>
      <c r="L60" s="38"/>
      <c r="M60" s="50"/>
      <c r="N60" s="50"/>
      <c r="O60" s="51"/>
      <c r="P60" s="48"/>
      <c r="Q60" s="51"/>
      <c r="R60" s="37">
        <f t="shared" si="35"/>
        <v>0</v>
      </c>
      <c r="S60" s="38"/>
      <c r="T60" s="38"/>
      <c r="U60" s="51"/>
      <c r="V60" s="51"/>
      <c r="W60" s="51"/>
      <c r="X60" s="51"/>
      <c r="Y60" s="37">
        <f t="shared" si="36"/>
        <v>0</v>
      </c>
      <c r="Z60" s="51"/>
      <c r="AA60" s="38"/>
      <c r="AB60" s="38"/>
      <c r="AC60" s="51"/>
      <c r="AD60" s="51"/>
      <c r="AE60" s="51"/>
      <c r="AF60" s="37">
        <f t="shared" si="37"/>
        <v>0</v>
      </c>
      <c r="AG60" s="38">
        <f t="shared" si="33"/>
        <v>0</v>
      </c>
      <c r="AH60" s="41"/>
      <c r="AI60" s="7">
        <v>0</v>
      </c>
      <c r="AJ60" s="41">
        <f t="shared" si="3"/>
        <v>0</v>
      </c>
      <c r="AK60" s="41"/>
    </row>
    <row r="61" spans="1:44" ht="15" customHeight="1" x14ac:dyDescent="0.25">
      <c r="A61" s="48"/>
      <c r="B61" s="48"/>
      <c r="C61" s="60" t="s">
        <v>72</v>
      </c>
      <c r="D61" s="27" t="s">
        <v>79</v>
      </c>
      <c r="E61" s="50"/>
      <c r="F61" s="50"/>
      <c r="G61" s="51"/>
      <c r="H61" s="48"/>
      <c r="I61" s="51">
        <v>100</v>
      </c>
      <c r="J61" s="51">
        <f>30000+40100</f>
        <v>70100</v>
      </c>
      <c r="K61" s="37">
        <f t="shared" si="34"/>
        <v>70100</v>
      </c>
      <c r="L61" s="38">
        <v>0</v>
      </c>
      <c r="M61" s="50">
        <v>0</v>
      </c>
      <c r="N61" s="50">
        <v>0</v>
      </c>
      <c r="O61" s="51">
        <v>0</v>
      </c>
      <c r="P61" s="48">
        <v>0</v>
      </c>
      <c r="Q61" s="51">
        <v>0</v>
      </c>
      <c r="R61" s="37">
        <f t="shared" si="35"/>
        <v>0</v>
      </c>
      <c r="S61" s="38">
        <v>0</v>
      </c>
      <c r="T61" s="38">
        <v>0</v>
      </c>
      <c r="U61" s="51">
        <v>0</v>
      </c>
      <c r="V61" s="51">
        <v>0</v>
      </c>
      <c r="W61" s="51">
        <v>0</v>
      </c>
      <c r="X61" s="51">
        <v>0</v>
      </c>
      <c r="Y61" s="37">
        <f t="shared" si="36"/>
        <v>0</v>
      </c>
      <c r="Z61" s="51">
        <v>0</v>
      </c>
      <c r="AA61" s="38">
        <v>0</v>
      </c>
      <c r="AB61" s="38">
        <v>0</v>
      </c>
      <c r="AC61" s="51">
        <v>0</v>
      </c>
      <c r="AD61" s="51">
        <v>0</v>
      </c>
      <c r="AE61" s="51">
        <v>0</v>
      </c>
      <c r="AF61" s="37">
        <f t="shared" si="37"/>
        <v>0</v>
      </c>
      <c r="AG61" s="38">
        <f t="shared" si="33"/>
        <v>70100</v>
      </c>
      <c r="AH61" s="41">
        <f t="shared" si="6"/>
        <v>70100</v>
      </c>
      <c r="AI61" s="7">
        <v>70100</v>
      </c>
      <c r="AJ61" s="41">
        <f t="shared" si="3"/>
        <v>0</v>
      </c>
      <c r="AK61" s="41">
        <f t="shared" si="4"/>
        <v>-70100</v>
      </c>
    </row>
    <row r="62" spans="1:44" ht="15" customHeight="1" x14ac:dyDescent="0.25">
      <c r="A62" s="48"/>
      <c r="B62" s="48"/>
      <c r="C62" s="60" t="s">
        <v>74</v>
      </c>
      <c r="D62" s="27" t="s">
        <v>79</v>
      </c>
      <c r="E62" s="50"/>
      <c r="F62" s="50"/>
      <c r="G62" s="51"/>
      <c r="H62" s="48"/>
      <c r="I62" s="51">
        <v>270</v>
      </c>
      <c r="J62" s="51">
        <v>46600</v>
      </c>
      <c r="K62" s="37">
        <f t="shared" si="34"/>
        <v>46600</v>
      </c>
      <c r="L62" s="38">
        <v>0</v>
      </c>
      <c r="M62" s="50">
        <v>0</v>
      </c>
      <c r="N62" s="50">
        <v>0</v>
      </c>
      <c r="O62" s="51">
        <v>0</v>
      </c>
      <c r="P62" s="48">
        <v>0</v>
      </c>
      <c r="Q62" s="51">
        <v>0</v>
      </c>
      <c r="R62" s="37">
        <f t="shared" si="35"/>
        <v>0</v>
      </c>
      <c r="S62" s="38">
        <v>0</v>
      </c>
      <c r="T62" s="38">
        <v>0</v>
      </c>
      <c r="U62" s="51">
        <v>0</v>
      </c>
      <c r="V62" s="51">
        <v>0</v>
      </c>
      <c r="W62" s="51">
        <v>0</v>
      </c>
      <c r="X62" s="51">
        <v>0</v>
      </c>
      <c r="Y62" s="37">
        <f t="shared" si="36"/>
        <v>0</v>
      </c>
      <c r="Z62" s="51">
        <v>0</v>
      </c>
      <c r="AA62" s="38">
        <v>0</v>
      </c>
      <c r="AB62" s="38">
        <v>0</v>
      </c>
      <c r="AC62" s="51">
        <v>0</v>
      </c>
      <c r="AD62" s="51">
        <v>0</v>
      </c>
      <c r="AE62" s="51">
        <v>0</v>
      </c>
      <c r="AF62" s="37">
        <f t="shared" si="37"/>
        <v>0</v>
      </c>
      <c r="AG62" s="38">
        <f t="shared" si="33"/>
        <v>46600</v>
      </c>
      <c r="AH62" s="41">
        <f t="shared" si="6"/>
        <v>46600</v>
      </c>
      <c r="AI62" s="7">
        <v>46600</v>
      </c>
      <c r="AJ62" s="41">
        <f t="shared" si="3"/>
        <v>0</v>
      </c>
      <c r="AK62" s="41">
        <f t="shared" si="4"/>
        <v>-46600</v>
      </c>
    </row>
    <row r="63" spans="1:44" ht="15" customHeight="1" x14ac:dyDescent="0.25">
      <c r="A63" s="48"/>
      <c r="B63" s="48"/>
      <c r="C63" s="60" t="s">
        <v>64</v>
      </c>
      <c r="D63" s="27" t="s">
        <v>79</v>
      </c>
      <c r="E63" s="50"/>
      <c r="F63" s="50"/>
      <c r="G63" s="51"/>
      <c r="H63" s="48"/>
      <c r="I63" s="51">
        <v>635</v>
      </c>
      <c r="J63" s="51">
        <f>77100-48540</f>
        <v>28560</v>
      </c>
      <c r="K63" s="37">
        <f t="shared" si="34"/>
        <v>28560</v>
      </c>
      <c r="L63" s="38">
        <v>0</v>
      </c>
      <c r="M63" s="50">
        <v>0</v>
      </c>
      <c r="N63" s="50">
        <v>0</v>
      </c>
      <c r="O63" s="51">
        <v>0</v>
      </c>
      <c r="P63" s="48">
        <v>0</v>
      </c>
      <c r="Q63" s="51">
        <v>0</v>
      </c>
      <c r="R63" s="37">
        <f t="shared" si="35"/>
        <v>0</v>
      </c>
      <c r="S63" s="38">
        <v>0</v>
      </c>
      <c r="T63" s="38">
        <v>0</v>
      </c>
      <c r="U63" s="51">
        <v>0</v>
      </c>
      <c r="V63" s="51">
        <v>0</v>
      </c>
      <c r="W63" s="51">
        <v>0</v>
      </c>
      <c r="X63" s="51">
        <v>0</v>
      </c>
      <c r="Y63" s="37">
        <f t="shared" si="36"/>
        <v>0</v>
      </c>
      <c r="Z63" s="51">
        <v>0</v>
      </c>
      <c r="AA63" s="38">
        <v>0</v>
      </c>
      <c r="AB63" s="38">
        <v>0</v>
      </c>
      <c r="AC63" s="51">
        <v>0</v>
      </c>
      <c r="AD63" s="51">
        <v>0</v>
      </c>
      <c r="AE63" s="51">
        <v>0</v>
      </c>
      <c r="AF63" s="37">
        <f t="shared" si="37"/>
        <v>0</v>
      </c>
      <c r="AG63" s="38">
        <f t="shared" si="33"/>
        <v>28560</v>
      </c>
      <c r="AH63" s="41">
        <f t="shared" si="6"/>
        <v>28560</v>
      </c>
      <c r="AI63" s="7">
        <v>28560</v>
      </c>
      <c r="AJ63" s="41">
        <f t="shared" si="3"/>
        <v>0</v>
      </c>
      <c r="AK63" s="41">
        <f t="shared" si="4"/>
        <v>-28560</v>
      </c>
    </row>
    <row r="64" spans="1:44" ht="15" customHeight="1" x14ac:dyDescent="0.25">
      <c r="A64" s="48"/>
      <c r="B64" s="48"/>
      <c r="C64" s="60" t="s">
        <v>68</v>
      </c>
      <c r="D64" s="27"/>
      <c r="E64" s="50"/>
      <c r="F64" s="50"/>
      <c r="G64" s="51"/>
      <c r="H64" s="48"/>
      <c r="I64" s="51"/>
      <c r="J64" s="51"/>
      <c r="K64" s="37">
        <f t="shared" si="34"/>
        <v>0</v>
      </c>
      <c r="L64" s="38"/>
      <c r="M64" s="50"/>
      <c r="N64" s="50"/>
      <c r="O64" s="51"/>
      <c r="P64" s="48"/>
      <c r="Q64" s="51"/>
      <c r="R64" s="37">
        <f t="shared" si="35"/>
        <v>0</v>
      </c>
      <c r="S64" s="38"/>
      <c r="T64" s="38"/>
      <c r="U64" s="51"/>
      <c r="V64" s="51"/>
      <c r="W64" s="51"/>
      <c r="X64" s="51"/>
      <c r="Y64" s="37">
        <f t="shared" si="36"/>
        <v>0</v>
      </c>
      <c r="Z64" s="51"/>
      <c r="AA64" s="38">
        <v>13165</v>
      </c>
      <c r="AB64" s="38"/>
      <c r="AC64" s="51"/>
      <c r="AD64" s="51"/>
      <c r="AE64" s="51"/>
      <c r="AF64" s="37">
        <f t="shared" si="37"/>
        <v>13165</v>
      </c>
      <c r="AG64" s="38">
        <f t="shared" si="33"/>
        <v>13165</v>
      </c>
      <c r="AH64" s="41"/>
      <c r="AI64" s="7">
        <v>13165</v>
      </c>
      <c r="AJ64" s="41">
        <f t="shared" si="3"/>
        <v>0</v>
      </c>
      <c r="AK64" s="41"/>
    </row>
    <row r="65" spans="1:37" ht="15" customHeight="1" x14ac:dyDescent="0.25">
      <c r="A65" s="48"/>
      <c r="B65" s="48"/>
      <c r="C65" s="60" t="s">
        <v>83</v>
      </c>
      <c r="D65" s="27"/>
      <c r="E65" s="50"/>
      <c r="F65" s="50"/>
      <c r="G65" s="51"/>
      <c r="H65" s="48"/>
      <c r="I65" s="51"/>
      <c r="J65" s="51"/>
      <c r="K65" s="37"/>
      <c r="L65" s="38"/>
      <c r="M65" s="50"/>
      <c r="N65" s="50"/>
      <c r="O65" s="51"/>
      <c r="P65" s="48"/>
      <c r="Q65" s="51"/>
      <c r="R65" s="37"/>
      <c r="S65" s="38"/>
      <c r="T65" s="38"/>
      <c r="U65" s="51"/>
      <c r="V65" s="51"/>
      <c r="W65" s="51"/>
      <c r="X65" s="51"/>
      <c r="Y65" s="37"/>
      <c r="Z65" s="51"/>
      <c r="AA65" s="38"/>
      <c r="AB65" s="38"/>
      <c r="AC65" s="51"/>
      <c r="AD65" s="51"/>
      <c r="AE65" s="51"/>
      <c r="AF65" s="37"/>
      <c r="AG65" s="38"/>
      <c r="AH65" s="41"/>
      <c r="AJ65" s="41"/>
      <c r="AK65" s="41"/>
    </row>
    <row r="66" spans="1:37" ht="15" customHeight="1" x14ac:dyDescent="0.25">
      <c r="A66" s="48"/>
      <c r="B66" s="48"/>
      <c r="C66" s="60" t="s">
        <v>84</v>
      </c>
      <c r="D66" s="27"/>
      <c r="E66" s="50"/>
      <c r="F66" s="50"/>
      <c r="G66" s="51"/>
      <c r="H66" s="48"/>
      <c r="I66" s="51"/>
      <c r="J66" s="51"/>
      <c r="K66" s="37">
        <f t="shared" si="34"/>
        <v>0</v>
      </c>
      <c r="L66" s="38"/>
      <c r="M66" s="50"/>
      <c r="N66" s="50"/>
      <c r="O66" s="51"/>
      <c r="P66" s="48"/>
      <c r="Q66" s="51"/>
      <c r="R66" s="37">
        <f t="shared" si="35"/>
        <v>0</v>
      </c>
      <c r="S66" s="38"/>
      <c r="T66" s="38"/>
      <c r="U66" s="51"/>
      <c r="V66" s="51"/>
      <c r="W66" s="51"/>
      <c r="X66" s="51"/>
      <c r="Y66" s="37">
        <f t="shared" si="36"/>
        <v>0</v>
      </c>
      <c r="Z66" s="51"/>
      <c r="AA66" s="38"/>
      <c r="AB66" s="38"/>
      <c r="AC66" s="51"/>
      <c r="AD66" s="51"/>
      <c r="AE66" s="51"/>
      <c r="AF66" s="37">
        <f t="shared" si="37"/>
        <v>0</v>
      </c>
      <c r="AG66" s="38">
        <f t="shared" si="33"/>
        <v>0</v>
      </c>
      <c r="AH66" s="41"/>
      <c r="AI66" s="7">
        <v>0</v>
      </c>
      <c r="AJ66" s="41"/>
      <c r="AK66" s="41"/>
    </row>
    <row r="67" spans="1:37" ht="15" customHeight="1" x14ac:dyDescent="0.25">
      <c r="A67" s="48"/>
      <c r="B67" s="48"/>
      <c r="C67" s="46" t="s">
        <v>37</v>
      </c>
      <c r="D67" s="27"/>
      <c r="E67" s="50"/>
      <c r="F67" s="50"/>
      <c r="G67" s="51"/>
      <c r="H67" s="48"/>
      <c r="I67" s="51"/>
      <c r="J67" s="51">
        <v>5412.5</v>
      </c>
      <c r="K67" s="37">
        <f t="shared" si="34"/>
        <v>5412.5</v>
      </c>
      <c r="L67" s="38"/>
      <c r="M67" s="50"/>
      <c r="N67" s="50"/>
      <c r="O67" s="51"/>
      <c r="P67" s="48"/>
      <c r="Q67" s="51"/>
      <c r="R67" s="37">
        <f t="shared" si="35"/>
        <v>0</v>
      </c>
      <c r="S67" s="38"/>
      <c r="T67" s="38"/>
      <c r="U67" s="51"/>
      <c r="V67" s="51"/>
      <c r="W67" s="51"/>
      <c r="X67" s="51"/>
      <c r="Y67" s="37">
        <f t="shared" si="36"/>
        <v>0</v>
      </c>
      <c r="Z67" s="51"/>
      <c r="AA67" s="38"/>
      <c r="AB67" s="38"/>
      <c r="AC67" s="51"/>
      <c r="AD67" s="51"/>
      <c r="AE67" s="51"/>
      <c r="AF67" s="37">
        <f t="shared" si="37"/>
        <v>0</v>
      </c>
      <c r="AG67" s="38">
        <f t="shared" si="33"/>
        <v>5412.5</v>
      </c>
      <c r="AH67" s="41">
        <f t="shared" si="6"/>
        <v>5412.5</v>
      </c>
      <c r="AI67" s="7">
        <v>5412.5</v>
      </c>
      <c r="AJ67" s="41">
        <f t="shared" si="3"/>
        <v>0</v>
      </c>
      <c r="AK67" s="41"/>
    </row>
    <row r="68" spans="1:37" s="8" customFormat="1" ht="20.25" customHeight="1" x14ac:dyDescent="0.2">
      <c r="A68" s="35">
        <v>247</v>
      </c>
      <c r="B68" s="35">
        <v>223</v>
      </c>
      <c r="C68" s="36" t="s">
        <v>85</v>
      </c>
      <c r="D68" s="28" t="s">
        <v>79</v>
      </c>
      <c r="E68" s="37">
        <f>E69+E70</f>
        <v>18147.28</v>
      </c>
      <c r="F68" s="37">
        <f t="shared" ref="F68:AF68" si="38">F69+F70</f>
        <v>172232.78999999998</v>
      </c>
      <c r="G68" s="37">
        <f t="shared" si="38"/>
        <v>15525.69</v>
      </c>
      <c r="H68" s="37">
        <f t="shared" si="38"/>
        <v>239465.52000000002</v>
      </c>
      <c r="I68" s="37">
        <f t="shared" si="38"/>
        <v>1871.1499999999999</v>
      </c>
      <c r="J68" s="37">
        <f t="shared" si="38"/>
        <v>149662</v>
      </c>
      <c r="K68" s="37">
        <f t="shared" si="38"/>
        <v>561360.31000000006</v>
      </c>
      <c r="L68" s="37">
        <f t="shared" si="38"/>
        <v>16429.490000000002</v>
      </c>
      <c r="M68" s="37">
        <f t="shared" si="38"/>
        <v>249577</v>
      </c>
      <c r="N68" s="37">
        <f t="shared" si="38"/>
        <v>1625.08</v>
      </c>
      <c r="O68" s="37">
        <f t="shared" si="38"/>
        <v>9575</v>
      </c>
      <c r="P68" s="37">
        <f t="shared" si="38"/>
        <v>5909.71</v>
      </c>
      <c r="Q68" s="37">
        <f t="shared" si="38"/>
        <v>34820</v>
      </c>
      <c r="R68" s="37">
        <f t="shared" si="38"/>
        <v>293972</v>
      </c>
      <c r="S68" s="37">
        <f t="shared" si="38"/>
        <v>5868.13</v>
      </c>
      <c r="T68" s="37">
        <f t="shared" si="38"/>
        <v>34575</v>
      </c>
      <c r="U68" s="37">
        <f t="shared" si="38"/>
        <v>5868.13</v>
      </c>
      <c r="V68" s="37">
        <f t="shared" si="38"/>
        <v>34575</v>
      </c>
      <c r="W68" s="37">
        <f t="shared" si="38"/>
        <v>7350.81</v>
      </c>
      <c r="X68" s="37">
        <f t="shared" si="38"/>
        <v>43311</v>
      </c>
      <c r="Y68" s="37">
        <f t="shared" si="38"/>
        <v>112461</v>
      </c>
      <c r="Z68" s="37">
        <f t="shared" si="38"/>
        <v>7496.4</v>
      </c>
      <c r="AA68" s="37">
        <f t="shared" si="38"/>
        <v>119314</v>
      </c>
      <c r="AB68" s="37">
        <f t="shared" si="38"/>
        <v>7384.3700000000008</v>
      </c>
      <c r="AC68" s="37">
        <f t="shared" si="38"/>
        <v>92168.83</v>
      </c>
      <c r="AD68" s="37">
        <f t="shared" si="38"/>
        <v>7615.5700000000006</v>
      </c>
      <c r="AE68" s="37">
        <f t="shared" si="38"/>
        <v>110173</v>
      </c>
      <c r="AF68" s="37">
        <f t="shared" si="38"/>
        <v>321655.83</v>
      </c>
      <c r="AG68" s="38">
        <f t="shared" si="33"/>
        <v>1289449.1400000001</v>
      </c>
      <c r="AH68" s="41">
        <f t="shared" si="6"/>
        <v>810937.31</v>
      </c>
      <c r="AI68" s="8">
        <v>1289449.1400000001</v>
      </c>
      <c r="AJ68" s="41">
        <f t="shared" si="3"/>
        <v>0</v>
      </c>
      <c r="AK68" s="41">
        <f t="shared" si="4"/>
        <v>-810937.31</v>
      </c>
    </row>
    <row r="69" spans="1:37" ht="15" customHeight="1" x14ac:dyDescent="0.25">
      <c r="A69" s="48"/>
      <c r="B69" s="48"/>
      <c r="C69" s="49" t="s">
        <v>77</v>
      </c>
      <c r="D69" s="27" t="s">
        <v>79</v>
      </c>
      <c r="E69" s="50">
        <f>ROUND(F69/5.892,2)</f>
        <v>18129.46</v>
      </c>
      <c r="F69" s="50">
        <f>11048+95770.79</f>
        <v>106818.79</v>
      </c>
      <c r="G69" s="50">
        <f>ROUND(H69/5.892,2)</f>
        <v>15485.32</v>
      </c>
      <c r="H69" s="48">
        <f>11293+79946.52</f>
        <v>91239.52</v>
      </c>
      <c r="I69" s="50">
        <f>ROUND(J69/5.892,2)</f>
        <v>1833.33</v>
      </c>
      <c r="J69" s="51">
        <v>10802</v>
      </c>
      <c r="K69" s="37">
        <f>J69+H69+F69</f>
        <v>208860.31</v>
      </c>
      <c r="L69" s="50">
        <f>ROUND(M69/5.892,2)</f>
        <v>16387.810000000001</v>
      </c>
      <c r="M69" s="50">
        <f>10557+86000</f>
        <v>96557</v>
      </c>
      <c r="N69" s="50">
        <f>ROUND(O69/5.892,2)</f>
        <v>1625.08</v>
      </c>
      <c r="O69" s="51">
        <v>9575</v>
      </c>
      <c r="P69" s="50">
        <f>ROUND(Q69/5.892,2)</f>
        <v>5909.71</v>
      </c>
      <c r="Q69" s="51">
        <f>9820+25000</f>
        <v>34820</v>
      </c>
      <c r="R69" s="37">
        <f>Q69+O69+M69</f>
        <v>140952</v>
      </c>
      <c r="S69" s="50">
        <f>ROUND(T69/5.892,2)</f>
        <v>5868.13</v>
      </c>
      <c r="T69" s="38">
        <f>9575+25000</f>
        <v>34575</v>
      </c>
      <c r="U69" s="50">
        <f>ROUND(V69/5.892,2)</f>
        <v>5868.13</v>
      </c>
      <c r="V69" s="51">
        <f>9575+25000</f>
        <v>34575</v>
      </c>
      <c r="W69" s="50">
        <f>ROUND(X69/5.892,2)</f>
        <v>7350.81</v>
      </c>
      <c r="X69" s="51">
        <f>10311+33000</f>
        <v>43311</v>
      </c>
      <c r="Y69" s="37">
        <f>X69+V69+T69</f>
        <v>112461</v>
      </c>
      <c r="Z69" s="50">
        <f>ROUND(AA69/5.892,2)</f>
        <v>7475.9</v>
      </c>
      <c r="AA69" s="38">
        <f>11048+33000</f>
        <v>44048</v>
      </c>
      <c r="AB69" s="50">
        <f>ROUND(AC69/5.892,2)</f>
        <v>7371.1</v>
      </c>
      <c r="AC69" s="51">
        <f>11048+32382.51</f>
        <v>43430.509999999995</v>
      </c>
      <c r="AD69" s="50">
        <f>ROUND(AE69/5.892,2)</f>
        <v>7597.76</v>
      </c>
      <c r="AE69" s="51">
        <f>12766+32000</f>
        <v>44766</v>
      </c>
      <c r="AF69" s="37">
        <f>AE69+AC69+AA69</f>
        <v>132244.51</v>
      </c>
      <c r="AG69" s="38">
        <f t="shared" si="33"/>
        <v>594517.82000000007</v>
      </c>
      <c r="AH69" s="41">
        <f t="shared" si="6"/>
        <v>305417.31</v>
      </c>
      <c r="AI69" s="7">
        <v>594517.82000000007</v>
      </c>
      <c r="AJ69" s="41">
        <f t="shared" si="3"/>
        <v>0</v>
      </c>
      <c r="AK69" s="41">
        <f t="shared" si="4"/>
        <v>-305417.31</v>
      </c>
    </row>
    <row r="70" spans="1:37" ht="15" customHeight="1" x14ac:dyDescent="0.25">
      <c r="A70" s="48"/>
      <c r="B70" s="48"/>
      <c r="C70" s="49" t="s">
        <v>80</v>
      </c>
      <c r="D70" s="27" t="s">
        <v>79</v>
      </c>
      <c r="E70" s="50">
        <f>ROUND(F70/3671.5,2)</f>
        <v>17.82</v>
      </c>
      <c r="F70" s="50">
        <f>165414-100000</f>
        <v>65414</v>
      </c>
      <c r="G70" s="50">
        <f>ROUND(H70/3671.5,2)</f>
        <v>40.369999999999997</v>
      </c>
      <c r="H70" s="48">
        <v>148226</v>
      </c>
      <c r="I70" s="50">
        <f>ROUND(J70/3671.5,2)</f>
        <v>37.82</v>
      </c>
      <c r="J70" s="51">
        <v>138860</v>
      </c>
      <c r="K70" s="37">
        <f>J70+H70+F70</f>
        <v>352500</v>
      </c>
      <c r="L70" s="50">
        <f>ROUND(M70/3671.5,2)</f>
        <v>41.68</v>
      </c>
      <c r="M70" s="50">
        <f>83020+270000-200000</f>
        <v>153020</v>
      </c>
      <c r="N70" s="50">
        <f>ROUND(O70/3671.5,2)</f>
        <v>0</v>
      </c>
      <c r="O70" s="51">
        <v>0</v>
      </c>
      <c r="P70" s="50">
        <f>ROUND(Q70/3671.5,2)</f>
        <v>0</v>
      </c>
      <c r="Q70" s="51">
        <v>0</v>
      </c>
      <c r="R70" s="37">
        <f>Q70+O70+M70</f>
        <v>153020</v>
      </c>
      <c r="S70" s="50">
        <f>ROUND(T70/3671.5,2)</f>
        <v>0</v>
      </c>
      <c r="T70" s="38">
        <v>0</v>
      </c>
      <c r="U70" s="50">
        <f>ROUND(V70/3671.5,2)</f>
        <v>0</v>
      </c>
      <c r="V70" s="51">
        <v>0</v>
      </c>
      <c r="W70" s="50">
        <f>ROUND(X70/3671.5,2)</f>
        <v>0</v>
      </c>
      <c r="X70" s="51">
        <v>0</v>
      </c>
      <c r="Y70" s="37">
        <f>X70+V70+T70</f>
        <v>0</v>
      </c>
      <c r="Z70" s="50">
        <f>ROUND(AA70/3671.5,2)</f>
        <v>20.5</v>
      </c>
      <c r="AA70" s="38">
        <v>75266</v>
      </c>
      <c r="AB70" s="50">
        <f>ROUND(AC70/3671.5,2)</f>
        <v>13.27</v>
      </c>
      <c r="AC70" s="51">
        <f>139011-90272.68</f>
        <v>48738.320000000007</v>
      </c>
      <c r="AD70" s="50">
        <f>ROUND(AE70/3671.5,2)</f>
        <v>17.809999999999999</v>
      </c>
      <c r="AE70" s="51">
        <f>165407-100000</f>
        <v>65407</v>
      </c>
      <c r="AF70" s="37">
        <f>AE70+AC70+AA70</f>
        <v>189411.32</v>
      </c>
      <c r="AG70" s="38">
        <f t="shared" si="33"/>
        <v>694931.32000000007</v>
      </c>
      <c r="AH70" s="41">
        <f t="shared" si="6"/>
        <v>505520</v>
      </c>
      <c r="AI70" s="7">
        <v>694931.32000000007</v>
      </c>
      <c r="AJ70" s="41">
        <f t="shared" si="3"/>
        <v>0</v>
      </c>
      <c r="AK70" s="41">
        <f t="shared" si="4"/>
        <v>-505520</v>
      </c>
    </row>
    <row r="71" spans="1:37" s="8" customFormat="1" ht="27" customHeight="1" x14ac:dyDescent="0.2">
      <c r="A71" s="35">
        <v>852</v>
      </c>
      <c r="B71" s="35">
        <v>291</v>
      </c>
      <c r="C71" s="36" t="s">
        <v>86</v>
      </c>
      <c r="D71" s="28" t="s">
        <v>79</v>
      </c>
      <c r="E71" s="37">
        <f>E72</f>
        <v>0</v>
      </c>
      <c r="F71" s="37">
        <f t="shared" ref="F71:AF71" si="39">F72</f>
        <v>0</v>
      </c>
      <c r="G71" s="37">
        <f t="shared" si="39"/>
        <v>0</v>
      </c>
      <c r="H71" s="37">
        <f t="shared" si="39"/>
        <v>0</v>
      </c>
      <c r="I71" s="37">
        <f t="shared" si="39"/>
        <v>0</v>
      </c>
      <c r="J71" s="37">
        <f t="shared" si="39"/>
        <v>0</v>
      </c>
      <c r="K71" s="37">
        <f t="shared" si="39"/>
        <v>0</v>
      </c>
      <c r="L71" s="37">
        <f t="shared" si="39"/>
        <v>0</v>
      </c>
      <c r="M71" s="37">
        <f t="shared" si="39"/>
        <v>0</v>
      </c>
      <c r="N71" s="37">
        <f t="shared" si="39"/>
        <v>0</v>
      </c>
      <c r="O71" s="37">
        <f t="shared" si="39"/>
        <v>0</v>
      </c>
      <c r="P71" s="37">
        <f t="shared" si="39"/>
        <v>0</v>
      </c>
      <c r="Q71" s="37">
        <f t="shared" si="39"/>
        <v>0</v>
      </c>
      <c r="R71" s="37">
        <f t="shared" si="39"/>
        <v>0</v>
      </c>
      <c r="S71" s="37">
        <f t="shared" si="39"/>
        <v>0</v>
      </c>
      <c r="T71" s="37">
        <f t="shared" si="39"/>
        <v>0</v>
      </c>
      <c r="U71" s="37">
        <f t="shared" si="39"/>
        <v>0</v>
      </c>
      <c r="V71" s="37">
        <f t="shared" si="39"/>
        <v>0</v>
      </c>
      <c r="W71" s="37">
        <f t="shared" si="39"/>
        <v>0</v>
      </c>
      <c r="X71" s="37">
        <f t="shared" si="39"/>
        <v>0</v>
      </c>
      <c r="Y71" s="37">
        <f t="shared" si="39"/>
        <v>0</v>
      </c>
      <c r="Z71" s="37">
        <f t="shared" si="39"/>
        <v>0</v>
      </c>
      <c r="AA71" s="37">
        <f t="shared" si="39"/>
        <v>0</v>
      </c>
      <c r="AB71" s="37">
        <f t="shared" si="39"/>
        <v>0</v>
      </c>
      <c r="AC71" s="37">
        <f t="shared" si="39"/>
        <v>0</v>
      </c>
      <c r="AD71" s="37">
        <f t="shared" si="39"/>
        <v>0</v>
      </c>
      <c r="AE71" s="37">
        <f t="shared" si="39"/>
        <v>0</v>
      </c>
      <c r="AF71" s="37">
        <f t="shared" si="39"/>
        <v>0</v>
      </c>
      <c r="AG71" s="38">
        <f t="shared" si="33"/>
        <v>0</v>
      </c>
      <c r="AH71" s="41">
        <f t="shared" si="6"/>
        <v>0</v>
      </c>
      <c r="AI71" s="8">
        <v>0</v>
      </c>
      <c r="AJ71" s="41">
        <f t="shared" si="3"/>
        <v>0</v>
      </c>
      <c r="AK71" s="41">
        <f t="shared" si="4"/>
        <v>0</v>
      </c>
    </row>
    <row r="72" spans="1:37" ht="15" customHeight="1" x14ac:dyDescent="0.25">
      <c r="A72" s="48"/>
      <c r="B72" s="48"/>
      <c r="C72" s="49" t="s">
        <v>87</v>
      </c>
      <c r="D72" s="27" t="s">
        <v>79</v>
      </c>
      <c r="E72" s="50"/>
      <c r="F72" s="50"/>
      <c r="G72" s="51"/>
      <c r="H72" s="48"/>
      <c r="I72" s="51">
        <v>0</v>
      </c>
      <c r="J72" s="51">
        <f>1100-1100</f>
        <v>0</v>
      </c>
      <c r="K72" s="37">
        <f>J72+H72+F72</f>
        <v>0</v>
      </c>
      <c r="L72" s="38">
        <v>0</v>
      </c>
      <c r="M72" s="50">
        <v>0</v>
      </c>
      <c r="N72" s="50">
        <v>0</v>
      </c>
      <c r="O72" s="51">
        <v>0</v>
      </c>
      <c r="P72" s="48">
        <v>0</v>
      </c>
      <c r="Q72" s="51">
        <v>0</v>
      </c>
      <c r="R72" s="37">
        <f>Q72+O72+M72</f>
        <v>0</v>
      </c>
      <c r="S72" s="38">
        <v>0</v>
      </c>
      <c r="T72" s="38">
        <v>0</v>
      </c>
      <c r="U72" s="51">
        <v>0</v>
      </c>
      <c r="V72" s="51">
        <v>0</v>
      </c>
      <c r="W72" s="51">
        <v>0</v>
      </c>
      <c r="X72" s="51">
        <v>0</v>
      </c>
      <c r="Y72" s="37">
        <f>X72+V72+T72</f>
        <v>0</v>
      </c>
      <c r="Z72" s="51">
        <v>0</v>
      </c>
      <c r="AA72" s="38">
        <v>0</v>
      </c>
      <c r="AB72" s="38">
        <v>0</v>
      </c>
      <c r="AC72" s="51">
        <v>0</v>
      </c>
      <c r="AD72" s="51">
        <v>0</v>
      </c>
      <c r="AE72" s="51">
        <v>0</v>
      </c>
      <c r="AF72" s="37">
        <f>AE72+AC72+AA72</f>
        <v>0</v>
      </c>
      <c r="AG72" s="38">
        <f t="shared" si="33"/>
        <v>0</v>
      </c>
      <c r="AH72" s="41">
        <f t="shared" si="6"/>
        <v>0</v>
      </c>
      <c r="AI72" s="7">
        <v>0</v>
      </c>
      <c r="AJ72" s="41">
        <f t="shared" si="3"/>
        <v>0</v>
      </c>
      <c r="AK72" s="41">
        <f t="shared" si="4"/>
        <v>0</v>
      </c>
    </row>
    <row r="73" spans="1:37" s="66" customFormat="1" ht="14.25" x14ac:dyDescent="0.2">
      <c r="A73" s="62"/>
      <c r="B73" s="62"/>
      <c r="C73" s="63" t="s">
        <v>88</v>
      </c>
      <c r="D73" s="64"/>
      <c r="E73" s="65">
        <f t="shared" ref="E73:AF73" si="40">E71+E68+E56+E53+E52+E51+E28+E19+E16+E13+E12+E10+E40+E11</f>
        <v>18227.289999999997</v>
      </c>
      <c r="F73" s="65">
        <f t="shared" si="40"/>
        <v>1141736.7799999998</v>
      </c>
      <c r="G73" s="65">
        <f t="shared" si="40"/>
        <v>15700.69</v>
      </c>
      <c r="H73" s="65">
        <f t="shared" si="40"/>
        <v>1476864.99</v>
      </c>
      <c r="I73" s="65">
        <f t="shared" si="40"/>
        <v>4744.1499999999996</v>
      </c>
      <c r="J73" s="65">
        <f t="shared" si="40"/>
        <v>2860852.54</v>
      </c>
      <c r="K73" s="65">
        <f t="shared" si="40"/>
        <v>5479454.3100000005</v>
      </c>
      <c r="L73" s="65">
        <f t="shared" si="40"/>
        <v>17072.13</v>
      </c>
      <c r="M73" s="65">
        <f t="shared" si="40"/>
        <v>1744863.8</v>
      </c>
      <c r="N73" s="65">
        <f t="shared" si="40"/>
        <v>1703.6899999999998</v>
      </c>
      <c r="O73" s="65">
        <f t="shared" si="40"/>
        <v>1593131</v>
      </c>
      <c r="P73" s="65">
        <f t="shared" si="40"/>
        <v>5990.33</v>
      </c>
      <c r="Q73" s="65">
        <f t="shared" si="40"/>
        <v>6619880.6399999997</v>
      </c>
      <c r="R73" s="65">
        <f t="shared" si="40"/>
        <v>9957875.4400000013</v>
      </c>
      <c r="S73" s="65">
        <f t="shared" si="40"/>
        <v>5987.75</v>
      </c>
      <c r="T73" s="65">
        <f t="shared" si="40"/>
        <v>603528.92000000004</v>
      </c>
      <c r="U73" s="65">
        <f t="shared" si="40"/>
        <v>5938.75</v>
      </c>
      <c r="V73" s="65">
        <f t="shared" si="40"/>
        <v>1544300.85</v>
      </c>
      <c r="W73" s="65">
        <f t="shared" si="40"/>
        <v>7434.42</v>
      </c>
      <c r="X73" s="65">
        <f t="shared" si="40"/>
        <v>2239330.37</v>
      </c>
      <c r="Y73" s="65">
        <f t="shared" si="40"/>
        <v>4387160.1399999997</v>
      </c>
      <c r="Z73" s="65">
        <f t="shared" si="40"/>
        <v>7765.04</v>
      </c>
      <c r="AA73" s="65">
        <f t="shared" si="40"/>
        <v>1662417.58</v>
      </c>
      <c r="AB73" s="65">
        <f t="shared" si="40"/>
        <v>7470.9900000000007</v>
      </c>
      <c r="AC73" s="65">
        <f t="shared" si="40"/>
        <v>1568129.83</v>
      </c>
      <c r="AD73" s="65">
        <f t="shared" si="40"/>
        <v>7699.18</v>
      </c>
      <c r="AE73" s="65">
        <f t="shared" si="40"/>
        <v>890808.58000000007</v>
      </c>
      <c r="AF73" s="65">
        <f t="shared" si="40"/>
        <v>4121355.9899999998</v>
      </c>
      <c r="AG73" s="65">
        <f>AG71+AG68+AG56+AG53+AG52+AG51+AG28+AG19+AG16+AG13+AG12+AG10+AG40+AG11</f>
        <v>23945845.880000003</v>
      </c>
      <c r="AH73" s="41">
        <f t="shared" si="6"/>
        <v>7224318.1099999994</v>
      </c>
      <c r="AI73" s="66">
        <v>23977313.880000003</v>
      </c>
      <c r="AJ73" s="41">
        <f t="shared" si="3"/>
        <v>-31468</v>
      </c>
      <c r="AK73" s="41">
        <f t="shared" si="4"/>
        <v>-7255786.1099999994</v>
      </c>
    </row>
    <row r="74" spans="1:37" s="66" customFormat="1" ht="12.75" x14ac:dyDescent="0.2">
      <c r="C74" s="67"/>
      <c r="D74" s="68"/>
      <c r="E74" s="69"/>
      <c r="F74" s="69"/>
      <c r="G74" s="69"/>
      <c r="H74" s="69"/>
      <c r="I74" s="69"/>
      <c r="J74" s="69"/>
      <c r="K74" s="70"/>
      <c r="L74" s="69"/>
      <c r="M74" s="69"/>
      <c r="N74" s="69"/>
      <c r="O74" s="69"/>
      <c r="P74" s="69"/>
      <c r="Q74" s="69"/>
      <c r="R74" s="69"/>
      <c r="S74" s="70"/>
      <c r="T74" s="69"/>
      <c r="U74" s="70"/>
      <c r="V74" s="69"/>
      <c r="W74" s="70"/>
      <c r="X74" s="69"/>
      <c r="Y74" s="70"/>
      <c r="Z74" s="69"/>
      <c r="AA74" s="70"/>
      <c r="AB74" s="69"/>
      <c r="AC74" s="70"/>
      <c r="AD74" s="69"/>
      <c r="AE74" s="70"/>
      <c r="AF74" s="69"/>
      <c r="AG74" s="70"/>
    </row>
    <row r="75" spans="1:37" s="66" customFormat="1" ht="12.75" hidden="1" x14ac:dyDescent="0.2">
      <c r="C75" s="67"/>
      <c r="D75" s="68"/>
      <c r="E75" s="69"/>
      <c r="F75" s="69"/>
      <c r="G75" s="69"/>
      <c r="H75" s="69"/>
      <c r="I75" s="69"/>
      <c r="J75" s="69"/>
      <c r="K75" s="70"/>
      <c r="L75" s="69"/>
      <c r="M75" s="69">
        <f>M73+K73</f>
        <v>7224318.1100000003</v>
      </c>
      <c r="N75" s="69"/>
      <c r="O75" s="69"/>
      <c r="P75" s="69"/>
      <c r="Q75" s="69"/>
      <c r="R75" s="69"/>
      <c r="S75" s="70"/>
      <c r="T75" s="69"/>
      <c r="U75" s="70"/>
      <c r="V75" s="69"/>
      <c r="W75" s="70"/>
      <c r="X75" s="69"/>
      <c r="Y75" s="70"/>
      <c r="Z75" s="69"/>
      <c r="AA75" s="70"/>
      <c r="AB75" s="69"/>
      <c r="AC75" s="70"/>
      <c r="AD75" s="69"/>
      <c r="AE75" s="70"/>
      <c r="AF75" s="69"/>
      <c r="AG75" s="70"/>
    </row>
    <row r="76" spans="1:37" hidden="1" x14ac:dyDescent="0.25">
      <c r="E76" s="71"/>
      <c r="F76" s="71"/>
      <c r="G76" s="72"/>
      <c r="H76" s="72"/>
      <c r="I76" s="72"/>
      <c r="J76" s="72"/>
      <c r="K76" s="73"/>
      <c r="L76" s="73"/>
      <c r="M76" s="71"/>
      <c r="N76" s="71"/>
      <c r="O76" s="72"/>
      <c r="P76" s="72"/>
      <c r="Q76" s="72"/>
      <c r="R76" s="72"/>
      <c r="S76" s="73"/>
      <c r="T76" s="73"/>
      <c r="U76" s="72"/>
      <c r="V76" s="72"/>
      <c r="W76" s="72"/>
      <c r="X76" s="72"/>
      <c r="Y76" s="72"/>
      <c r="Z76" s="72"/>
      <c r="AA76" s="73"/>
      <c r="AB76" s="73"/>
      <c r="AC76" s="72"/>
      <c r="AD76" s="72"/>
      <c r="AE76" s="72"/>
      <c r="AF76" s="72"/>
      <c r="AG76" s="72"/>
    </row>
    <row r="77" spans="1:37" x14ac:dyDescent="0.25">
      <c r="E77" s="71"/>
      <c r="F77" s="71"/>
      <c r="G77" s="72"/>
      <c r="H77" s="72"/>
      <c r="I77" s="72"/>
      <c r="J77" s="72"/>
      <c r="K77" s="73"/>
      <c r="L77" s="73"/>
      <c r="M77" s="71"/>
      <c r="N77" s="71"/>
      <c r="O77" s="72"/>
      <c r="P77" s="72"/>
      <c r="Q77" s="72"/>
      <c r="R77" s="72"/>
      <c r="S77" s="73"/>
      <c r="T77" s="73"/>
      <c r="U77" s="72"/>
      <c r="V77" s="72"/>
      <c r="W77" s="72"/>
      <c r="X77" s="72"/>
      <c r="Y77" s="72"/>
      <c r="Z77" s="72"/>
      <c r="AA77" s="73"/>
      <c r="AB77" s="73"/>
      <c r="AC77" s="72"/>
      <c r="AD77" s="72"/>
      <c r="AE77" s="72"/>
      <c r="AF77" s="72"/>
      <c r="AG77" s="72"/>
    </row>
    <row r="78" spans="1:37" s="1" customFormat="1" ht="15.75" x14ac:dyDescent="0.25">
      <c r="A78" s="74" t="s">
        <v>89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/>
      <c r="P78" s="76"/>
      <c r="Q78" s="76"/>
      <c r="R78" s="76"/>
      <c r="S78" s="77"/>
      <c r="T78" s="77"/>
      <c r="U78" s="75"/>
      <c r="V78" s="75"/>
      <c r="W78" s="75"/>
      <c r="X78" s="76" t="s">
        <v>90</v>
      </c>
      <c r="Y78" s="76"/>
      <c r="Z78" s="76"/>
      <c r="AA78" s="77"/>
      <c r="AB78" s="77"/>
      <c r="AC78" s="75"/>
      <c r="AD78" s="75"/>
      <c r="AE78" s="75"/>
      <c r="AF78" s="75"/>
      <c r="AG78" s="75"/>
    </row>
    <row r="80" spans="1:37" x14ac:dyDescent="0.25">
      <c r="E80" s="10">
        <v>18227.289999999997</v>
      </c>
      <c r="F80" s="10">
        <v>1141736.7799999998</v>
      </c>
      <c r="G80" s="16">
        <v>15700.69</v>
      </c>
      <c r="H80" s="16">
        <v>1476864.99</v>
      </c>
      <c r="I80" s="16">
        <v>4744.1499999999996</v>
      </c>
      <c r="J80" s="16">
        <v>2866220.54</v>
      </c>
      <c r="K80" s="17">
        <v>5484822.3100000005</v>
      </c>
      <c r="L80" s="17">
        <v>17072.13</v>
      </c>
      <c r="M80" s="10">
        <v>1747763.8</v>
      </c>
      <c r="N80" s="10">
        <v>1703.6899999999998</v>
      </c>
      <c r="O80" s="16">
        <v>1596031</v>
      </c>
      <c r="P80" s="16">
        <v>5990.33</v>
      </c>
      <c r="Q80" s="16">
        <v>6622780.6399999997</v>
      </c>
      <c r="R80" s="16">
        <v>9966575.4400000013</v>
      </c>
      <c r="S80" s="17">
        <v>5987.75</v>
      </c>
      <c r="T80" s="17">
        <v>606428.92000000004</v>
      </c>
      <c r="U80" s="16">
        <v>5938.75</v>
      </c>
      <c r="V80" s="16">
        <v>1547200.85</v>
      </c>
      <c r="W80" s="16">
        <v>7434.42</v>
      </c>
      <c r="X80" s="16">
        <v>2242230.37</v>
      </c>
      <c r="Y80" s="16">
        <v>4395860.1399999997</v>
      </c>
      <c r="Z80" s="16">
        <v>7765.04</v>
      </c>
      <c r="AA80" s="17">
        <v>1665317.58</v>
      </c>
      <c r="AB80" s="17">
        <v>7470.9900000000007</v>
      </c>
      <c r="AC80" s="16">
        <v>1571029.83</v>
      </c>
      <c r="AD80" s="16">
        <v>7699.18</v>
      </c>
      <c r="AE80" s="16">
        <v>893708.58000000007</v>
      </c>
      <c r="AF80" s="16">
        <v>4130055.9899999998</v>
      </c>
      <c r="AG80" s="16">
        <v>23977313.880000003</v>
      </c>
    </row>
    <row r="81" spans="5:33" x14ac:dyDescent="0.25">
      <c r="E81" s="71">
        <f>E73-E80</f>
        <v>0</v>
      </c>
      <c r="F81" s="71">
        <f t="shared" ref="F81:AG81" si="41">F73-F80</f>
        <v>0</v>
      </c>
      <c r="G81" s="71">
        <f t="shared" si="41"/>
        <v>0</v>
      </c>
      <c r="H81" s="71">
        <f t="shared" si="41"/>
        <v>0</v>
      </c>
      <c r="I81" s="71">
        <f t="shared" si="41"/>
        <v>0</v>
      </c>
      <c r="J81" s="71">
        <f t="shared" si="41"/>
        <v>-5368</v>
      </c>
      <c r="K81" s="71">
        <f t="shared" si="41"/>
        <v>-5368</v>
      </c>
      <c r="L81" s="71">
        <f t="shared" si="41"/>
        <v>0</v>
      </c>
      <c r="M81" s="71">
        <f t="shared" si="41"/>
        <v>-2900</v>
      </c>
      <c r="N81" s="71">
        <f t="shared" si="41"/>
        <v>0</v>
      </c>
      <c r="O81" s="71">
        <f t="shared" si="41"/>
        <v>-2900</v>
      </c>
      <c r="P81" s="71">
        <f t="shared" si="41"/>
        <v>0</v>
      </c>
      <c r="Q81" s="71">
        <f t="shared" si="41"/>
        <v>-2900</v>
      </c>
      <c r="R81" s="71">
        <f t="shared" si="41"/>
        <v>-8700</v>
      </c>
      <c r="S81" s="71">
        <f t="shared" si="41"/>
        <v>0</v>
      </c>
      <c r="T81" s="71">
        <f t="shared" si="41"/>
        <v>-2900</v>
      </c>
      <c r="U81" s="71">
        <f t="shared" si="41"/>
        <v>0</v>
      </c>
      <c r="V81" s="71">
        <f t="shared" si="41"/>
        <v>-2900</v>
      </c>
      <c r="W81" s="71">
        <f t="shared" si="41"/>
        <v>0</v>
      </c>
      <c r="X81" s="71">
        <f t="shared" si="41"/>
        <v>-2900</v>
      </c>
      <c r="Y81" s="71">
        <f t="shared" si="41"/>
        <v>-8700</v>
      </c>
      <c r="Z81" s="71">
        <f t="shared" si="41"/>
        <v>0</v>
      </c>
      <c r="AA81" s="71">
        <f t="shared" si="41"/>
        <v>-2900</v>
      </c>
      <c r="AB81" s="71">
        <f t="shared" si="41"/>
        <v>0</v>
      </c>
      <c r="AC81" s="71">
        <f t="shared" si="41"/>
        <v>-2900</v>
      </c>
      <c r="AD81" s="71">
        <f t="shared" si="41"/>
        <v>0</v>
      </c>
      <c r="AE81" s="71">
        <f t="shared" si="41"/>
        <v>-2900</v>
      </c>
      <c r="AF81" s="71">
        <f t="shared" si="41"/>
        <v>-8700</v>
      </c>
      <c r="AG81" s="71">
        <f t="shared" si="41"/>
        <v>-31468</v>
      </c>
    </row>
    <row r="85" spans="5:33" x14ac:dyDescent="0.25">
      <c r="E85" s="78" t="s">
        <v>91</v>
      </c>
      <c r="F85" s="78"/>
      <c r="G85" s="78"/>
      <c r="H85" s="78" t="s">
        <v>92</v>
      </c>
      <c r="I85" s="78"/>
      <c r="J85" s="78"/>
      <c r="K85" s="78" t="s">
        <v>93</v>
      </c>
      <c r="L85" s="78"/>
      <c r="M85" s="78"/>
    </row>
    <row r="86" spans="5:33" x14ac:dyDescent="0.25">
      <c r="E86" s="27" t="s">
        <v>94</v>
      </c>
      <c r="F86" s="27" t="s">
        <v>95</v>
      </c>
      <c r="G86" s="48" t="s">
        <v>11</v>
      </c>
      <c r="H86" s="27" t="s">
        <v>94</v>
      </c>
      <c r="I86" s="27" t="s">
        <v>95</v>
      </c>
      <c r="J86" s="48" t="s">
        <v>11</v>
      </c>
      <c r="K86" s="27" t="s">
        <v>94</v>
      </c>
      <c r="L86" s="27" t="s">
        <v>95</v>
      </c>
      <c r="M86" s="48" t="s">
        <v>11</v>
      </c>
    </row>
    <row r="87" spans="5:33" x14ac:dyDescent="0.25">
      <c r="E87" s="50">
        <f>AG68+AG17</f>
        <v>1348503.85</v>
      </c>
      <c r="F87" s="50">
        <f>H17</f>
        <v>3633</v>
      </c>
      <c r="G87" s="50">
        <f>J17</f>
        <v>3067</v>
      </c>
      <c r="H87" s="50">
        <f>F69</f>
        <v>106818.79</v>
      </c>
      <c r="I87" s="50">
        <f>H69</f>
        <v>91239.52</v>
      </c>
      <c r="J87" s="50">
        <f>J69</f>
        <v>10802</v>
      </c>
      <c r="K87" s="50">
        <f>F70</f>
        <v>65414</v>
      </c>
      <c r="L87" s="50">
        <f>H70</f>
        <v>148226</v>
      </c>
      <c r="M87" s="50">
        <f>J70</f>
        <v>138860</v>
      </c>
      <c r="N87" s="50">
        <f>F25</f>
        <v>1254</v>
      </c>
      <c r="O87" s="50">
        <f>H25</f>
        <v>1254</v>
      </c>
      <c r="P87" s="50">
        <f>J25</f>
        <v>8469</v>
      </c>
      <c r="Q87" s="50">
        <f>AG25</f>
        <v>22571.440000000002</v>
      </c>
      <c r="R87" s="50">
        <f t="shared" ref="R87:AG87" si="42">R12</f>
        <v>1105720.8</v>
      </c>
      <c r="S87" s="50">
        <f t="shared" si="42"/>
        <v>0</v>
      </c>
      <c r="T87" s="50">
        <f t="shared" si="42"/>
        <v>79264.429999999993</v>
      </c>
      <c r="U87" s="50">
        <f t="shared" si="42"/>
        <v>0</v>
      </c>
      <c r="V87" s="50">
        <f t="shared" si="42"/>
        <v>312575.83</v>
      </c>
      <c r="W87" s="50">
        <f t="shared" si="42"/>
        <v>0</v>
      </c>
      <c r="X87" s="50">
        <f t="shared" si="42"/>
        <v>472374.97</v>
      </c>
      <c r="Y87" s="50">
        <f t="shared" si="42"/>
        <v>864215.23</v>
      </c>
      <c r="Z87" s="50">
        <f t="shared" si="42"/>
        <v>0</v>
      </c>
      <c r="AA87" s="50">
        <f t="shared" si="42"/>
        <v>305324</v>
      </c>
      <c r="AB87" s="50">
        <f t="shared" si="42"/>
        <v>0</v>
      </c>
      <c r="AC87" s="50">
        <f t="shared" si="42"/>
        <v>305324</v>
      </c>
      <c r="AD87" s="50">
        <f t="shared" si="42"/>
        <v>0</v>
      </c>
      <c r="AE87" s="50">
        <f t="shared" si="42"/>
        <v>144067.20000000001</v>
      </c>
      <c r="AF87" s="50">
        <f t="shared" si="42"/>
        <v>754715.2</v>
      </c>
      <c r="AG87" s="50">
        <f t="shared" si="42"/>
        <v>3481141.63</v>
      </c>
    </row>
    <row r="89" spans="5:33" x14ac:dyDescent="0.25">
      <c r="I89" s="20" t="s">
        <v>11</v>
      </c>
      <c r="J89" s="21"/>
      <c r="K89" s="22" t="s">
        <v>12</v>
      </c>
      <c r="L89" s="23" t="s">
        <v>13</v>
      </c>
      <c r="M89" s="24"/>
      <c r="N89" s="20" t="s">
        <v>14</v>
      </c>
      <c r="O89" s="21"/>
      <c r="P89" s="20" t="s">
        <v>15</v>
      </c>
      <c r="Q89" s="21"/>
      <c r="R89" s="25" t="s">
        <v>16</v>
      </c>
      <c r="S89" s="23" t="s">
        <v>17</v>
      </c>
      <c r="T89" s="24"/>
      <c r="U89" s="20" t="s">
        <v>18</v>
      </c>
      <c r="V89" s="21"/>
      <c r="W89" s="20" t="s">
        <v>19</v>
      </c>
      <c r="X89" s="21"/>
      <c r="Y89" s="25" t="s">
        <v>20</v>
      </c>
      <c r="Z89" s="20" t="s">
        <v>21</v>
      </c>
      <c r="AA89" s="21"/>
      <c r="AB89" s="23" t="s">
        <v>22</v>
      </c>
      <c r="AC89" s="24"/>
      <c r="AD89" s="20" t="s">
        <v>23</v>
      </c>
      <c r="AE89" s="21"/>
      <c r="AF89" s="25" t="s">
        <v>24</v>
      </c>
      <c r="AG89" s="25" t="s">
        <v>25</v>
      </c>
    </row>
    <row r="90" spans="5:33" x14ac:dyDescent="0.25">
      <c r="E90" s="71">
        <f t="shared" ref="E90:AG90" si="43">E10</f>
        <v>0</v>
      </c>
      <c r="F90" s="71">
        <f t="shared" si="43"/>
        <v>738968.69</v>
      </c>
      <c r="G90" s="71">
        <f t="shared" si="43"/>
        <v>0</v>
      </c>
      <c r="H90" s="71">
        <f t="shared" si="43"/>
        <v>746292.37</v>
      </c>
      <c r="I90" s="71">
        <f t="shared" si="43"/>
        <v>0</v>
      </c>
      <c r="J90" s="71">
        <f t="shared" si="43"/>
        <v>1011006</v>
      </c>
      <c r="K90" s="71">
        <f t="shared" si="43"/>
        <v>2496267.06</v>
      </c>
      <c r="L90" s="71">
        <f t="shared" si="43"/>
        <v>0</v>
      </c>
      <c r="M90" s="71">
        <f t="shared" si="43"/>
        <v>1011005.23</v>
      </c>
      <c r="N90" s="71">
        <f t="shared" si="43"/>
        <v>0</v>
      </c>
      <c r="O90" s="71">
        <f t="shared" si="43"/>
        <v>1097666</v>
      </c>
      <c r="P90" s="71">
        <f t="shared" si="43"/>
        <v>0</v>
      </c>
      <c r="Q90" s="71">
        <f t="shared" si="43"/>
        <v>1544963.62</v>
      </c>
      <c r="R90" s="71">
        <f t="shared" si="43"/>
        <v>3653634.85</v>
      </c>
      <c r="S90" s="71">
        <f t="shared" si="43"/>
        <v>0</v>
      </c>
      <c r="T90" s="71">
        <f t="shared" si="43"/>
        <v>273677.98</v>
      </c>
      <c r="U90" s="71">
        <f t="shared" si="43"/>
        <v>0</v>
      </c>
      <c r="V90" s="71">
        <f t="shared" si="43"/>
        <v>1023807.02</v>
      </c>
      <c r="W90" s="71">
        <f t="shared" si="43"/>
        <v>0</v>
      </c>
      <c r="X90" s="71">
        <f t="shared" si="43"/>
        <v>1564155.4</v>
      </c>
      <c r="Y90" s="71">
        <f t="shared" si="43"/>
        <v>2861640.4</v>
      </c>
      <c r="Z90" s="71">
        <f t="shared" si="43"/>
        <v>0</v>
      </c>
      <c r="AA90" s="71">
        <f t="shared" si="43"/>
        <v>1009381.8</v>
      </c>
      <c r="AB90" s="71">
        <f t="shared" si="43"/>
        <v>0</v>
      </c>
      <c r="AC90" s="71">
        <f t="shared" si="43"/>
        <v>1011006</v>
      </c>
      <c r="AD90" s="71">
        <f t="shared" si="43"/>
        <v>0</v>
      </c>
      <c r="AE90" s="71">
        <f t="shared" si="43"/>
        <v>477043.38</v>
      </c>
      <c r="AF90" s="71">
        <f t="shared" si="43"/>
        <v>2497431.1799999997</v>
      </c>
      <c r="AG90" s="71">
        <f t="shared" si="43"/>
        <v>11508973.49</v>
      </c>
    </row>
    <row r="92" spans="5:33" x14ac:dyDescent="0.25">
      <c r="H92" s="16">
        <v>221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</row>
    <row r="93" spans="5:33" x14ac:dyDescent="0.25">
      <c r="H93" s="16">
        <v>226</v>
      </c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</row>
    <row r="94" spans="5:33" x14ac:dyDescent="0.25">
      <c r="H94" s="16">
        <v>342</v>
      </c>
      <c r="J94" s="51">
        <f t="shared" ref="J94:AG94" si="44">J52</f>
        <v>158752</v>
      </c>
      <c r="K94" s="51">
        <f t="shared" si="44"/>
        <v>411312</v>
      </c>
      <c r="L94" s="51">
        <f t="shared" si="44"/>
        <v>0</v>
      </c>
      <c r="M94" s="51">
        <f t="shared" si="44"/>
        <v>144320</v>
      </c>
      <c r="N94" s="51">
        <f t="shared" si="44"/>
        <v>0</v>
      </c>
      <c r="O94" s="51">
        <f t="shared" si="44"/>
        <v>144320</v>
      </c>
      <c r="P94" s="51">
        <f t="shared" si="44"/>
        <v>0</v>
      </c>
      <c r="Q94" s="51">
        <f t="shared" si="44"/>
        <v>151536</v>
      </c>
      <c r="R94" s="51">
        <f t="shared" si="44"/>
        <v>440176</v>
      </c>
      <c r="S94" s="51">
        <f t="shared" si="44"/>
        <v>0</v>
      </c>
      <c r="T94" s="51">
        <f t="shared" si="44"/>
        <v>151536</v>
      </c>
      <c r="U94" s="51">
        <f t="shared" si="44"/>
        <v>0</v>
      </c>
      <c r="V94" s="51">
        <f t="shared" si="44"/>
        <v>165968</v>
      </c>
      <c r="W94" s="51">
        <f t="shared" si="44"/>
        <v>0</v>
      </c>
      <c r="X94" s="51">
        <f t="shared" si="44"/>
        <v>151536</v>
      </c>
      <c r="Y94" s="51">
        <f t="shared" si="44"/>
        <v>469040</v>
      </c>
      <c r="Z94" s="51">
        <f t="shared" si="44"/>
        <v>0</v>
      </c>
      <c r="AA94" s="51">
        <f t="shared" si="44"/>
        <v>158752</v>
      </c>
      <c r="AB94" s="51">
        <f t="shared" si="44"/>
        <v>0</v>
      </c>
      <c r="AC94" s="51">
        <f t="shared" si="44"/>
        <v>151536</v>
      </c>
      <c r="AD94" s="51">
        <f t="shared" si="44"/>
        <v>0</v>
      </c>
      <c r="AE94" s="51">
        <f t="shared" si="44"/>
        <v>151536</v>
      </c>
      <c r="AF94" s="51">
        <f t="shared" si="44"/>
        <v>461824</v>
      </c>
      <c r="AG94" s="51">
        <f t="shared" si="44"/>
        <v>1782352</v>
      </c>
    </row>
    <row r="95" spans="5:33" x14ac:dyDescent="0.25">
      <c r="H95" s="16">
        <v>346</v>
      </c>
      <c r="J95" s="48"/>
      <c r="K95" s="35"/>
      <c r="L95" s="35"/>
      <c r="M95" s="27"/>
      <c r="N95" s="27"/>
      <c r="O95" s="48"/>
      <c r="P95" s="48"/>
      <c r="Q95" s="48"/>
      <c r="R95" s="48"/>
      <c r="S95" s="35"/>
      <c r="T95" s="35"/>
      <c r="U95" s="48"/>
      <c r="V95" s="48"/>
      <c r="W95" s="48"/>
      <c r="X95" s="48"/>
      <c r="Y95" s="48"/>
      <c r="Z95" s="48"/>
      <c r="AA95" s="35"/>
      <c r="AB95" s="35"/>
      <c r="AC95" s="48"/>
      <c r="AD95" s="48"/>
      <c r="AE95" s="48"/>
      <c r="AF95" s="48"/>
      <c r="AG95" s="48"/>
    </row>
    <row r="97" spans="3:33" x14ac:dyDescent="0.25">
      <c r="C97" s="60" t="s">
        <v>81</v>
      </c>
      <c r="J97" s="72">
        <f t="shared" ref="J97:AG99" si="45">J57</f>
        <v>46910</v>
      </c>
      <c r="K97" s="72">
        <f t="shared" si="45"/>
        <v>46910</v>
      </c>
      <c r="L97" s="72">
        <f t="shared" si="45"/>
        <v>0</v>
      </c>
      <c r="M97" s="72">
        <f t="shared" si="45"/>
        <v>0</v>
      </c>
      <c r="N97" s="72">
        <f t="shared" si="45"/>
        <v>0</v>
      </c>
      <c r="O97" s="72">
        <f t="shared" si="45"/>
        <v>0</v>
      </c>
      <c r="P97" s="72">
        <f t="shared" si="45"/>
        <v>0</v>
      </c>
      <c r="Q97" s="72">
        <f t="shared" si="45"/>
        <v>0</v>
      </c>
      <c r="R97" s="72">
        <f t="shared" si="45"/>
        <v>0</v>
      </c>
      <c r="S97" s="72">
        <f t="shared" si="45"/>
        <v>0</v>
      </c>
      <c r="T97" s="72">
        <f t="shared" si="45"/>
        <v>0</v>
      </c>
      <c r="U97" s="72">
        <f t="shared" si="45"/>
        <v>0</v>
      </c>
      <c r="V97" s="72">
        <f t="shared" si="45"/>
        <v>0</v>
      </c>
      <c r="W97" s="72">
        <f t="shared" si="45"/>
        <v>0</v>
      </c>
      <c r="X97" s="72">
        <f t="shared" si="45"/>
        <v>0</v>
      </c>
      <c r="Y97" s="72">
        <f t="shared" si="45"/>
        <v>0</v>
      </c>
      <c r="Z97" s="72">
        <f t="shared" si="45"/>
        <v>0</v>
      </c>
      <c r="AA97" s="72">
        <f t="shared" si="45"/>
        <v>0</v>
      </c>
      <c r="AB97" s="72">
        <f t="shared" si="45"/>
        <v>0</v>
      </c>
      <c r="AC97" s="72">
        <f t="shared" si="45"/>
        <v>0</v>
      </c>
      <c r="AD97" s="72">
        <f t="shared" si="45"/>
        <v>0</v>
      </c>
      <c r="AE97" s="72">
        <f t="shared" si="45"/>
        <v>0</v>
      </c>
      <c r="AF97" s="72">
        <f t="shared" si="45"/>
        <v>0</v>
      </c>
      <c r="AG97" s="72">
        <f t="shared" si="45"/>
        <v>46910</v>
      </c>
    </row>
    <row r="98" spans="3:33" x14ac:dyDescent="0.25">
      <c r="C98" s="61" t="s">
        <v>60</v>
      </c>
      <c r="J98" s="72">
        <f t="shared" si="45"/>
        <v>24910</v>
      </c>
      <c r="K98" s="72">
        <f t="shared" si="45"/>
        <v>24910</v>
      </c>
      <c r="L98" s="72">
        <f t="shared" si="45"/>
        <v>0</v>
      </c>
      <c r="M98" s="72">
        <f t="shared" si="45"/>
        <v>0</v>
      </c>
      <c r="N98" s="72">
        <f t="shared" si="45"/>
        <v>0</v>
      </c>
      <c r="O98" s="72">
        <f t="shared" si="45"/>
        <v>0</v>
      </c>
      <c r="P98" s="72">
        <f t="shared" si="45"/>
        <v>0</v>
      </c>
      <c r="Q98" s="72">
        <f t="shared" si="45"/>
        <v>0</v>
      </c>
      <c r="R98" s="72">
        <f t="shared" si="45"/>
        <v>0</v>
      </c>
      <c r="S98" s="72">
        <f t="shared" si="45"/>
        <v>0</v>
      </c>
      <c r="T98" s="72">
        <f t="shared" si="45"/>
        <v>0</v>
      </c>
      <c r="U98" s="72">
        <f t="shared" si="45"/>
        <v>0</v>
      </c>
      <c r="V98" s="72">
        <f t="shared" si="45"/>
        <v>0</v>
      </c>
      <c r="W98" s="72">
        <f t="shared" si="45"/>
        <v>0</v>
      </c>
      <c r="X98" s="72">
        <f t="shared" si="45"/>
        <v>0</v>
      </c>
      <c r="Y98" s="72">
        <f t="shared" si="45"/>
        <v>0</v>
      </c>
      <c r="Z98" s="72">
        <f t="shared" si="45"/>
        <v>0</v>
      </c>
      <c r="AA98" s="72">
        <f t="shared" si="45"/>
        <v>0</v>
      </c>
      <c r="AB98" s="72">
        <f t="shared" si="45"/>
        <v>0</v>
      </c>
      <c r="AC98" s="72">
        <f t="shared" si="45"/>
        <v>0</v>
      </c>
      <c r="AD98" s="72">
        <f t="shared" si="45"/>
        <v>0</v>
      </c>
      <c r="AE98" s="72">
        <f t="shared" si="45"/>
        <v>0</v>
      </c>
      <c r="AF98" s="72">
        <f t="shared" si="45"/>
        <v>0</v>
      </c>
      <c r="AG98" s="72">
        <f t="shared" si="45"/>
        <v>24910</v>
      </c>
    </row>
    <row r="99" spans="3:33" x14ac:dyDescent="0.25">
      <c r="C99" s="61" t="s">
        <v>70</v>
      </c>
      <c r="J99" s="72">
        <f t="shared" si="45"/>
        <v>22000</v>
      </c>
      <c r="K99" s="72">
        <f t="shared" si="45"/>
        <v>22000</v>
      </c>
      <c r="L99" s="72">
        <f t="shared" si="45"/>
        <v>0</v>
      </c>
      <c r="M99" s="72">
        <f t="shared" si="45"/>
        <v>0</v>
      </c>
      <c r="N99" s="72">
        <f t="shared" si="45"/>
        <v>0</v>
      </c>
      <c r="O99" s="72">
        <f t="shared" si="45"/>
        <v>0</v>
      </c>
      <c r="P99" s="72">
        <f t="shared" si="45"/>
        <v>0</v>
      </c>
      <c r="Q99" s="72">
        <f t="shared" si="45"/>
        <v>0</v>
      </c>
      <c r="R99" s="72">
        <f t="shared" si="45"/>
        <v>0</v>
      </c>
      <c r="S99" s="72">
        <f t="shared" si="45"/>
        <v>0</v>
      </c>
      <c r="T99" s="72">
        <f t="shared" si="45"/>
        <v>0</v>
      </c>
      <c r="U99" s="72">
        <f t="shared" si="45"/>
        <v>0</v>
      </c>
      <c r="V99" s="72">
        <f t="shared" si="45"/>
        <v>0</v>
      </c>
      <c r="W99" s="72">
        <f t="shared" si="45"/>
        <v>0</v>
      </c>
      <c r="X99" s="72">
        <f t="shared" si="45"/>
        <v>0</v>
      </c>
      <c r="Y99" s="72">
        <f t="shared" si="45"/>
        <v>0</v>
      </c>
      <c r="Z99" s="72">
        <f t="shared" si="45"/>
        <v>0</v>
      </c>
      <c r="AA99" s="72">
        <f t="shared" si="45"/>
        <v>0</v>
      </c>
      <c r="AB99" s="72">
        <f t="shared" si="45"/>
        <v>0</v>
      </c>
      <c r="AC99" s="72">
        <f t="shared" si="45"/>
        <v>0</v>
      </c>
      <c r="AD99" s="72">
        <f t="shared" si="45"/>
        <v>0</v>
      </c>
      <c r="AE99" s="72">
        <f t="shared" si="45"/>
        <v>0</v>
      </c>
      <c r="AF99" s="72">
        <f t="shared" si="45"/>
        <v>0</v>
      </c>
      <c r="AG99" s="72">
        <f t="shared" si="45"/>
        <v>22000</v>
      </c>
    </row>
    <row r="100" spans="3:33" x14ac:dyDescent="0.25">
      <c r="C100" s="60" t="s">
        <v>72</v>
      </c>
      <c r="J100" s="72">
        <f>J61</f>
        <v>70100</v>
      </c>
      <c r="K100" s="72">
        <f t="shared" ref="K100:AG102" si="46">K61</f>
        <v>70100</v>
      </c>
      <c r="L100" s="72">
        <f t="shared" si="46"/>
        <v>0</v>
      </c>
      <c r="M100" s="72">
        <f t="shared" si="46"/>
        <v>0</v>
      </c>
      <c r="N100" s="72">
        <f t="shared" si="46"/>
        <v>0</v>
      </c>
      <c r="O100" s="72">
        <f t="shared" si="46"/>
        <v>0</v>
      </c>
      <c r="P100" s="72">
        <f t="shared" si="46"/>
        <v>0</v>
      </c>
      <c r="Q100" s="72">
        <f t="shared" si="46"/>
        <v>0</v>
      </c>
      <c r="R100" s="72">
        <f t="shared" si="46"/>
        <v>0</v>
      </c>
      <c r="S100" s="72">
        <f t="shared" si="46"/>
        <v>0</v>
      </c>
      <c r="T100" s="72">
        <f t="shared" si="46"/>
        <v>0</v>
      </c>
      <c r="U100" s="72">
        <f t="shared" si="46"/>
        <v>0</v>
      </c>
      <c r="V100" s="72">
        <f t="shared" si="46"/>
        <v>0</v>
      </c>
      <c r="W100" s="72">
        <f t="shared" si="46"/>
        <v>0</v>
      </c>
      <c r="X100" s="72">
        <f t="shared" si="46"/>
        <v>0</v>
      </c>
      <c r="Y100" s="72">
        <f t="shared" si="46"/>
        <v>0</v>
      </c>
      <c r="Z100" s="72">
        <f t="shared" si="46"/>
        <v>0</v>
      </c>
      <c r="AA100" s="72">
        <f t="shared" si="46"/>
        <v>0</v>
      </c>
      <c r="AB100" s="72">
        <f t="shared" si="46"/>
        <v>0</v>
      </c>
      <c r="AC100" s="72">
        <f t="shared" si="46"/>
        <v>0</v>
      </c>
      <c r="AD100" s="72">
        <f t="shared" si="46"/>
        <v>0</v>
      </c>
      <c r="AE100" s="72">
        <f t="shared" si="46"/>
        <v>0</v>
      </c>
      <c r="AF100" s="72">
        <f t="shared" si="46"/>
        <v>0</v>
      </c>
      <c r="AG100" s="72">
        <f t="shared" si="46"/>
        <v>70100</v>
      </c>
    </row>
    <row r="101" spans="3:33" x14ac:dyDescent="0.25">
      <c r="C101" s="60" t="s">
        <v>74</v>
      </c>
      <c r="J101" s="72">
        <f>J62</f>
        <v>46600</v>
      </c>
      <c r="K101" s="72">
        <f t="shared" si="46"/>
        <v>46600</v>
      </c>
      <c r="L101" s="72">
        <f t="shared" si="46"/>
        <v>0</v>
      </c>
      <c r="M101" s="72">
        <f t="shared" si="46"/>
        <v>0</v>
      </c>
      <c r="N101" s="72">
        <f t="shared" si="46"/>
        <v>0</v>
      </c>
      <c r="O101" s="72">
        <f t="shared" si="46"/>
        <v>0</v>
      </c>
      <c r="P101" s="72">
        <f t="shared" si="46"/>
        <v>0</v>
      </c>
      <c r="Q101" s="72">
        <f t="shared" si="46"/>
        <v>0</v>
      </c>
      <c r="R101" s="72">
        <f t="shared" si="46"/>
        <v>0</v>
      </c>
      <c r="S101" s="72">
        <f t="shared" si="46"/>
        <v>0</v>
      </c>
      <c r="T101" s="72">
        <f t="shared" si="46"/>
        <v>0</v>
      </c>
      <c r="U101" s="72">
        <f t="shared" si="46"/>
        <v>0</v>
      </c>
      <c r="V101" s="72">
        <f t="shared" si="46"/>
        <v>0</v>
      </c>
      <c r="W101" s="72">
        <f t="shared" si="46"/>
        <v>0</v>
      </c>
      <c r="X101" s="72">
        <f t="shared" si="46"/>
        <v>0</v>
      </c>
      <c r="Y101" s="72">
        <f t="shared" si="46"/>
        <v>0</v>
      </c>
      <c r="Z101" s="72">
        <f t="shared" si="46"/>
        <v>0</v>
      </c>
      <c r="AA101" s="72">
        <f t="shared" si="46"/>
        <v>0</v>
      </c>
      <c r="AB101" s="72">
        <f t="shared" si="46"/>
        <v>0</v>
      </c>
      <c r="AC101" s="72">
        <f t="shared" si="46"/>
        <v>0</v>
      </c>
      <c r="AD101" s="72">
        <f t="shared" si="46"/>
        <v>0</v>
      </c>
      <c r="AE101" s="72">
        <f t="shared" si="46"/>
        <v>0</v>
      </c>
      <c r="AF101" s="72">
        <f t="shared" si="46"/>
        <v>0</v>
      </c>
      <c r="AG101" s="72">
        <f t="shared" si="46"/>
        <v>46600</v>
      </c>
    </row>
    <row r="102" spans="3:33" x14ac:dyDescent="0.25">
      <c r="C102" s="60" t="s">
        <v>64</v>
      </c>
      <c r="J102" s="72">
        <f>J63</f>
        <v>28560</v>
      </c>
      <c r="K102" s="72">
        <f t="shared" si="46"/>
        <v>28560</v>
      </c>
      <c r="L102" s="72">
        <f t="shared" si="46"/>
        <v>0</v>
      </c>
      <c r="M102" s="72">
        <f t="shared" si="46"/>
        <v>0</v>
      </c>
      <c r="N102" s="72">
        <f t="shared" si="46"/>
        <v>0</v>
      </c>
      <c r="O102" s="72">
        <f t="shared" si="46"/>
        <v>0</v>
      </c>
      <c r="P102" s="72">
        <f t="shared" si="46"/>
        <v>0</v>
      </c>
      <c r="Q102" s="72">
        <f t="shared" si="46"/>
        <v>0</v>
      </c>
      <c r="R102" s="72">
        <f t="shared" si="46"/>
        <v>0</v>
      </c>
      <c r="S102" s="72">
        <f t="shared" si="46"/>
        <v>0</v>
      </c>
      <c r="T102" s="72">
        <f t="shared" si="46"/>
        <v>0</v>
      </c>
      <c r="U102" s="72">
        <f t="shared" si="46"/>
        <v>0</v>
      </c>
      <c r="V102" s="72">
        <f t="shared" si="46"/>
        <v>0</v>
      </c>
      <c r="W102" s="72">
        <f t="shared" si="46"/>
        <v>0</v>
      </c>
      <c r="X102" s="72">
        <f t="shared" si="46"/>
        <v>0</v>
      </c>
      <c r="Y102" s="72">
        <f t="shared" si="46"/>
        <v>0</v>
      </c>
      <c r="Z102" s="72">
        <f t="shared" si="46"/>
        <v>0</v>
      </c>
      <c r="AA102" s="72">
        <f t="shared" si="46"/>
        <v>0</v>
      </c>
      <c r="AB102" s="72">
        <f t="shared" si="46"/>
        <v>0</v>
      </c>
      <c r="AC102" s="72">
        <f t="shared" si="46"/>
        <v>0</v>
      </c>
      <c r="AD102" s="72">
        <f t="shared" si="46"/>
        <v>0</v>
      </c>
      <c r="AE102" s="72">
        <f t="shared" si="46"/>
        <v>0</v>
      </c>
      <c r="AF102" s="72">
        <f t="shared" si="46"/>
        <v>0</v>
      </c>
      <c r="AG102" s="72">
        <f t="shared" si="46"/>
        <v>28560</v>
      </c>
    </row>
    <row r="108" spans="3:33" x14ac:dyDescent="0.25">
      <c r="F108" s="71">
        <f>F12</f>
        <v>225506.3</v>
      </c>
      <c r="G108" s="16">
        <f>H12</f>
        <v>225660.1</v>
      </c>
      <c r="H108" s="72">
        <f>J12</f>
        <v>305324</v>
      </c>
      <c r="I108" s="72">
        <f>M12</f>
        <v>305324</v>
      </c>
      <c r="J108" s="72">
        <f>O12</f>
        <v>333818</v>
      </c>
      <c r="K108" s="73">
        <f>Q12</f>
        <v>466578.8</v>
      </c>
      <c r="L108" s="73">
        <f>T12</f>
        <v>79264.429999999993</v>
      </c>
      <c r="M108" s="71">
        <f>V12</f>
        <v>312575.83</v>
      </c>
      <c r="N108" s="71">
        <f>X12</f>
        <v>472374.97</v>
      </c>
      <c r="O108" s="72">
        <f>AA12</f>
        <v>305324</v>
      </c>
      <c r="P108" s="72">
        <f>AC12</f>
        <v>305324</v>
      </c>
      <c r="Q108" s="72">
        <f>AE12</f>
        <v>144067.20000000001</v>
      </c>
      <c r="R108" s="72">
        <f>SUM(F108:Q108)</f>
        <v>3481141.63</v>
      </c>
    </row>
  </sheetData>
  <mergeCells count="37">
    <mergeCell ref="AD89:AE89"/>
    <mergeCell ref="P89:Q89"/>
    <mergeCell ref="S89:T89"/>
    <mergeCell ref="U89:V89"/>
    <mergeCell ref="W89:X89"/>
    <mergeCell ref="Z89:AA89"/>
    <mergeCell ref="AB89:AC89"/>
    <mergeCell ref="E85:G85"/>
    <mergeCell ref="H85:J85"/>
    <mergeCell ref="K85:M85"/>
    <mergeCell ref="I89:J89"/>
    <mergeCell ref="L89:M89"/>
    <mergeCell ref="N89:O89"/>
    <mergeCell ref="U7:V7"/>
    <mergeCell ref="W7:X7"/>
    <mergeCell ref="Z7:AA7"/>
    <mergeCell ref="AB7:AC7"/>
    <mergeCell ref="AD7:AE7"/>
    <mergeCell ref="A78:N78"/>
    <mergeCell ref="P78:R78"/>
    <mergeCell ref="X78:Z78"/>
    <mergeCell ref="G7:H7"/>
    <mergeCell ref="I7:J7"/>
    <mergeCell ref="L7:M7"/>
    <mergeCell ref="N7:O7"/>
    <mergeCell ref="P7:Q7"/>
    <mergeCell ref="S7:T7"/>
    <mergeCell ref="A3:C3"/>
    <mergeCell ref="J3:W3"/>
    <mergeCell ref="A5:C5"/>
    <mergeCell ref="G5:L5"/>
    <mergeCell ref="O5:T5"/>
    <mergeCell ref="A7:A8"/>
    <mergeCell ref="B7:B8"/>
    <mergeCell ref="C7:C8"/>
    <mergeCell ref="D7:D8"/>
    <mergeCell ref="E7:F7"/>
  </mergeCells>
  <pageMargins left="0.11811023622047245" right="0" top="0.94488188976377963" bottom="0.15748031496062992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 131</vt:lpstr>
      <vt:lpstr>'РО 131'!Заголовки_для_печати</vt:lpstr>
      <vt:lpstr>'РО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School34 PC 7</dc:creator>
  <cp:lastModifiedBy>School34 PC 7</cp:lastModifiedBy>
  <dcterms:created xsi:type="dcterms:W3CDTF">2023-11-27T11:46:47Z</dcterms:created>
  <dcterms:modified xsi:type="dcterms:W3CDTF">2023-11-27T11:47:01Z</dcterms:modified>
</cp:coreProperties>
</file>